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randyr\Documents\Compliance\Knight_Orion\Conflict Minerals\CMRT\"/>
    </mc:Choice>
  </mc:AlternateContent>
  <xr:revisionPtr revIDLastSave="0" documentId="13_ncr:1_{3EE2B9EC-BBE5-4CF6-B12D-AD3B75D0552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c r="H13" i="6"/>
  <c r="B12" i="6"/>
  <c r="G12" i="6"/>
  <c r="H12" i="6" s="1"/>
  <c r="D12" i="6" s="1"/>
  <c r="B11" i="6"/>
  <c r="G11" i="6"/>
  <c r="H11" i="6" s="1"/>
  <c r="D11" i="6" s="1"/>
  <c r="G9" i="6"/>
  <c r="H9" i="6" s="1"/>
  <c r="D9" i="6" s="1"/>
  <c r="B8" i="6"/>
  <c r="G8" i="6" s="1"/>
  <c r="H8" i="6" s="1"/>
  <c r="D8" i="6" s="1"/>
  <c r="B7" i="6"/>
  <c r="G7" i="6" s="1"/>
  <c r="H7" i="6" s="1"/>
  <c r="D7" i="6" s="1"/>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s="1"/>
  <c r="P41" i="4"/>
  <c r="P40" i="4"/>
  <c r="B40" i="4" s="1"/>
  <c r="A2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51" i="6" s="1"/>
  <c r="B39" i="6"/>
  <c r="G39" i="6" s="1"/>
  <c r="H39" i="6" s="1"/>
  <c r="D39" i="6" s="1"/>
  <c r="F24" i="6"/>
  <c r="B44" i="6"/>
  <c r="G44" i="6"/>
  <c r="B49" i="6"/>
  <c r="G49" i="6" s="1"/>
  <c r="H49" i="6" s="1"/>
  <c r="B34" i="6"/>
  <c r="G34" i="6" s="1"/>
  <c r="H34" i="6" s="1"/>
  <c r="B29" i="6"/>
  <c r="G29" i="6"/>
  <c r="B24" i="6"/>
  <c r="G24" i="6" s="1"/>
  <c r="H24" i="6" s="1"/>
  <c r="D24" i="6" s="1"/>
  <c r="G19" i="6"/>
  <c r="H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s="1"/>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4" i="5"/>
  <c r="AB17" i="5"/>
  <c r="AB16" i="5"/>
  <c r="AB15" i="5"/>
  <c r="D19" i="6"/>
  <c r="K65"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S17" i="5"/>
  <c r="S16" i="5"/>
  <c r="S15" i="5"/>
  <c r="S14" i="5"/>
  <c r="G64" i="6" a="1"/>
  <c r="B6" i="5" l="1"/>
  <c r="V6" i="5" s="1"/>
  <c r="G6" i="5" s="1"/>
  <c r="C6" i="6"/>
  <c r="C5" i="6"/>
  <c r="B12" i="5"/>
  <c r="C13" i="5"/>
  <c r="B11" i="5"/>
  <c r="C12" i="5"/>
  <c r="C11" i="5"/>
  <c r="C5" i="5"/>
  <c r="B10" i="5"/>
  <c r="C10" i="5"/>
  <c r="C8" i="5"/>
  <c r="C9" i="5"/>
  <c r="B5" i="5"/>
  <c r="B9" i="5"/>
  <c r="C7" i="5"/>
  <c r="B8" i="5"/>
  <c r="B13" i="5"/>
  <c r="B7" i="5"/>
  <c r="H31" i="6"/>
  <c r="D31" i="6" s="1"/>
  <c r="H36" i="6"/>
  <c r="D36" i="6" s="1"/>
  <c r="F41" i="6"/>
  <c r="H41" i="6" s="1"/>
  <c r="D41" i="6" s="1"/>
  <c r="F46" i="6"/>
  <c r="H46" i="6" s="1"/>
  <c r="H51" i="6"/>
  <c r="D51" i="6" s="1"/>
  <c r="B45" i="6"/>
  <c r="G45" i="6" s="1"/>
  <c r="B35" i="6"/>
  <c r="G35" i="6" s="1"/>
  <c r="G20" i="6"/>
  <c r="H20" i="6" s="1"/>
  <c r="B25" i="6"/>
  <c r="G25" i="6" s="1"/>
  <c r="B30" i="6"/>
  <c r="G30" i="6" s="1"/>
  <c r="B50" i="6"/>
  <c r="G50" i="6" s="1"/>
  <c r="B40" i="6"/>
  <c r="G40" i="6" s="1"/>
  <c r="F27" i="6"/>
  <c r="B22" i="6"/>
  <c r="B27" i="6" s="1"/>
  <c r="G27" i="6" s="1"/>
  <c r="F22" i="6"/>
  <c r="G17" i="6"/>
  <c r="H17" i="6" s="1"/>
  <c r="C17" i="6" s="1"/>
  <c r="B37" i="6"/>
  <c r="G37" i="6" s="1"/>
  <c r="K67" i="6"/>
  <c r="D16" i="6"/>
  <c r="C26" i="6"/>
  <c r="C36" i="6"/>
  <c r="C16" i="6"/>
  <c r="C41" i="6"/>
  <c r="C21" i="6"/>
  <c r="C19" i="6"/>
  <c r="H25" i="6"/>
  <c r="D25" i="6" s="1"/>
  <c r="F35" i="6"/>
  <c r="F40" i="6"/>
  <c r="F45" i="6"/>
  <c r="H45" i="6" s="1"/>
  <c r="D45" i="6" s="1"/>
  <c r="F66" i="6"/>
  <c r="F50" i="6"/>
  <c r="F54" i="6"/>
  <c r="F30" i="6"/>
  <c r="D15" i="6"/>
  <c r="C25" i="6"/>
  <c r="C15" i="6"/>
  <c r="C14" i="6"/>
  <c r="B55" i="4"/>
  <c r="A38" i="6" s="1"/>
  <c r="B83" i="4"/>
  <c r="A59" i="6" s="1"/>
  <c r="B61" i="4"/>
  <c r="A43" i="6" s="1"/>
  <c r="B49" i="4"/>
  <c r="A33" i="6" s="1"/>
  <c r="B85" i="4"/>
  <c r="A60" i="6" s="1"/>
  <c r="B37" i="4"/>
  <c r="A23" i="6" s="1"/>
  <c r="B81" i="4"/>
  <c r="A58" i="6" s="1"/>
  <c r="B67" i="4"/>
  <c r="A48" i="6" s="1"/>
  <c r="B77" i="4"/>
  <c r="A55" i="6" s="1"/>
  <c r="B79" i="4"/>
  <c r="A57" i="6" s="1"/>
  <c r="B31" i="4"/>
  <c r="A18" i="6" s="1"/>
  <c r="B87" i="4"/>
  <c r="A62" i="6" s="1"/>
  <c r="B75" i="4"/>
  <c r="A54" i="6" s="1"/>
  <c r="B43" i="4"/>
  <c r="A28" i="6" s="1"/>
  <c r="B89" i="4"/>
  <c r="A63" i="6" s="1"/>
  <c r="C34" i="6"/>
  <c r="D34" i="6"/>
  <c r="D49" i="6"/>
  <c r="C49" i="6"/>
  <c r="C24" i="6"/>
  <c r="C39" i="6"/>
  <c r="C29" i="6"/>
  <c r="C44" i="6"/>
  <c r="C12" i="6"/>
  <c r="C11" i="6"/>
  <c r="C10" i="6"/>
  <c r="B35" i="4"/>
  <c r="A22" i="6" s="1"/>
  <c r="C9" i="6"/>
  <c r="D43" i="4"/>
  <c r="D37" i="4"/>
  <c r="C8" i="6"/>
  <c r="C7" i="6"/>
  <c r="B63" i="4"/>
  <c r="A45" i="6" s="1"/>
  <c r="A25" i="6"/>
  <c r="B69" i="4"/>
  <c r="A50" i="6" s="1"/>
  <c r="B51" i="4"/>
  <c r="A35" i="6" s="1"/>
  <c r="B59" i="4"/>
  <c r="A42" i="6" s="1"/>
  <c r="B71" i="4"/>
  <c r="A52" i="6" s="1"/>
  <c r="G37" i="4"/>
  <c r="B53" i="4"/>
  <c r="A37" i="6" s="1"/>
  <c r="G49" i="4"/>
  <c r="B65" i="4"/>
  <c r="A47" i="6" s="1"/>
  <c r="G31" i="4"/>
  <c r="C4" i="6"/>
  <c r="B50" i="4"/>
  <c r="A34" i="6" s="1"/>
  <c r="A24" i="6"/>
  <c r="G74" i="4"/>
  <c r="G67" i="4"/>
  <c r="B34" i="4"/>
  <c r="A21" i="6" s="1"/>
  <c r="B32" i="4"/>
  <c r="A19" i="6" s="1"/>
  <c r="B64" i="4"/>
  <c r="A46" i="6" s="1"/>
  <c r="D74" i="4"/>
  <c r="B58" i="4"/>
  <c r="A41" i="6" s="1"/>
  <c r="B52" i="4"/>
  <c r="A36" i="6" s="1"/>
  <c r="B70" i="4"/>
  <c r="A51" i="6" s="1"/>
  <c r="D55" i="4"/>
  <c r="D67" i="4"/>
  <c r="B62" i="4"/>
  <c r="A44" i="6" s="1"/>
  <c r="B68" i="4"/>
  <c r="A49" i="6" s="1"/>
  <c r="B33" i="4"/>
  <c r="A20" i="6" s="1"/>
  <c r="G55" i="4"/>
  <c r="G61" i="4"/>
  <c r="G64" i="6"/>
  <c r="D61" i="4"/>
  <c r="D31" i="4"/>
  <c r="AB6" i="5" l="1"/>
  <c r="AB10" i="5"/>
  <c r="V5" i="5"/>
  <c r="AB7" i="5"/>
  <c r="V11" i="5"/>
  <c r="G11" i="5" s="1"/>
  <c r="AB13" i="5"/>
  <c r="V12" i="5"/>
  <c r="G12" i="5" s="1"/>
  <c r="AB12" i="5"/>
  <c r="AB8" i="5"/>
  <c r="AB11" i="5"/>
  <c r="V7" i="5"/>
  <c r="V13" i="5"/>
  <c r="F69" i="6"/>
  <c r="C69" i="6" s="1"/>
  <c r="AB9" i="5"/>
  <c r="G68" i="6"/>
  <c r="G66" i="6"/>
  <c r="H66" i="6" s="1"/>
  <c r="G65" i="6"/>
  <c r="H65" i="6" s="1"/>
  <c r="G67" i="6"/>
  <c r="H67" i="6" s="1"/>
  <c r="AB5" i="5"/>
  <c r="V9" i="5"/>
  <c r="G9" i="5" s="1"/>
  <c r="F6" i="5"/>
  <c r="J6" i="5"/>
  <c r="H6" i="5"/>
  <c r="E6" i="5"/>
  <c r="R6" i="5"/>
  <c r="I6" i="5"/>
  <c r="V8" i="5"/>
  <c r="G8" i="5" s="1"/>
  <c r="V10" i="5"/>
  <c r="G10" i="5" s="1"/>
  <c r="C51" i="6"/>
  <c r="H50" i="6"/>
  <c r="D50" i="6" s="1"/>
  <c r="C31" i="6"/>
  <c r="D46" i="6"/>
  <c r="C46" i="6"/>
  <c r="D20" i="6"/>
  <c r="C20" i="6"/>
  <c r="K66" i="6"/>
  <c r="C45" i="6"/>
  <c r="H30" i="6"/>
  <c r="H40" i="6"/>
  <c r="H35" i="6"/>
  <c r="C50" i="6"/>
  <c r="D17" i="6"/>
  <c r="B47" i="6"/>
  <c r="G47" i="6" s="1"/>
  <c r="B52" i="6"/>
  <c r="G52" i="6" s="1"/>
  <c r="G22" i="6"/>
  <c r="H22" i="6" s="1"/>
  <c r="K68" i="6" s="1"/>
  <c r="F47" i="6"/>
  <c r="H47" i="6" s="1"/>
  <c r="F37" i="6"/>
  <c r="H37" i="6" s="1"/>
  <c r="F42" i="6"/>
  <c r="H27" i="6"/>
  <c r="F68" i="6"/>
  <c r="F52" i="6"/>
  <c r="H52" i="6" s="1"/>
  <c r="F32" i="6"/>
  <c r="B42" i="6"/>
  <c r="G42" i="6" s="1"/>
  <c r="B32" i="6"/>
  <c r="G32" i="6" s="1"/>
  <c r="F60" i="6"/>
  <c r="H60" i="6" s="1"/>
  <c r="F59" i="6"/>
  <c r="H59" i="6" s="1"/>
  <c r="F55" i="6"/>
  <c r="H54" i="6"/>
  <c r="F63" i="6"/>
  <c r="H63" i="6" s="1"/>
  <c r="F62" i="6"/>
  <c r="H62" i="6" s="1"/>
  <c r="F58" i="6"/>
  <c r="H58" i="6" s="1"/>
  <c r="F57" i="6"/>
  <c r="H57" i="6" s="1"/>
  <c r="B64" i="6"/>
  <c r="H64" i="6"/>
  <c r="D66" i="6" l="1"/>
  <c r="C66" i="6"/>
  <c r="I7" i="5"/>
  <c r="J7" i="5"/>
  <c r="E7" i="5"/>
  <c r="H7" i="5"/>
  <c r="R7" i="5"/>
  <c r="F7" i="5"/>
  <c r="X6" i="5"/>
  <c r="H68" i="6"/>
  <c r="D68" i="6" s="1"/>
  <c r="E11" i="5"/>
  <c r="H11" i="5"/>
  <c r="J11" i="5"/>
  <c r="R11" i="5"/>
  <c r="F11" i="5"/>
  <c r="I11" i="5"/>
  <c r="I8" i="5"/>
  <c r="F8" i="5"/>
  <c r="J8" i="5"/>
  <c r="E8" i="5"/>
  <c r="R8" i="5"/>
  <c r="H8" i="5"/>
  <c r="I9" i="5"/>
  <c r="F9" i="5"/>
  <c r="R9" i="5"/>
  <c r="H9" i="5"/>
  <c r="J9" i="5"/>
  <c r="E9" i="5"/>
  <c r="H5" i="5"/>
  <c r="R5" i="5"/>
  <c r="F5" i="5"/>
  <c r="I5" i="5"/>
  <c r="J5" i="5"/>
  <c r="E5" i="5"/>
  <c r="G5" i="5"/>
  <c r="E10" i="5"/>
  <c r="F10" i="5"/>
  <c r="R10" i="5"/>
  <c r="J10" i="5"/>
  <c r="I10" i="5"/>
  <c r="H10" i="5"/>
  <c r="R13" i="5"/>
  <c r="I13" i="5"/>
  <c r="E13" i="5"/>
  <c r="J13" i="5"/>
  <c r="F13" i="5"/>
  <c r="H13" i="5"/>
  <c r="D67" i="6"/>
  <c r="C67" i="6"/>
  <c r="G13" i="5"/>
  <c r="R12" i="5"/>
  <c r="F12" i="5"/>
  <c r="H12" i="5"/>
  <c r="E12" i="5"/>
  <c r="I12" i="5"/>
  <c r="J12" i="5"/>
  <c r="D65" i="6"/>
  <c r="C65" i="6"/>
  <c r="G7" i="5"/>
  <c r="D35" i="6"/>
  <c r="C35" i="6"/>
  <c r="D40" i="6"/>
  <c r="C40" i="6"/>
  <c r="D30" i="6"/>
  <c r="C30" i="6"/>
  <c r="C68" i="6"/>
  <c r="D27" i="6"/>
  <c r="C27" i="6"/>
  <c r="D52" i="6"/>
  <c r="C52" i="6"/>
  <c r="D37" i="6"/>
  <c r="C37" i="6"/>
  <c r="H32" i="6"/>
  <c r="H42" i="6"/>
  <c r="D47" i="6"/>
  <c r="C47" i="6"/>
  <c r="D22" i="6"/>
  <c r="C22" i="6"/>
  <c r="D58" i="6"/>
  <c r="C58" i="6"/>
  <c r="D63" i="6"/>
  <c r="C63" i="6"/>
  <c r="D60" i="6"/>
  <c r="C60" i="6"/>
  <c r="D62" i="6"/>
  <c r="C62" i="6"/>
  <c r="D57" i="6"/>
  <c r="C57" i="6"/>
  <c r="D54" i="6"/>
  <c r="C54" i="6"/>
  <c r="F56" i="6"/>
  <c r="H56" i="6" s="1"/>
  <c r="H55" i="6"/>
  <c r="D59" i="6"/>
  <c r="C59" i="6"/>
  <c r="C64" i="6"/>
  <c r="D64" i="6"/>
  <c r="S6" i="5"/>
  <c r="X5" i="5" l="1"/>
  <c r="G69" i="6" a="1"/>
  <c r="G69" i="6" s="1"/>
  <c r="H69" i="6" s="1"/>
  <c r="H70" i="6" s="1"/>
  <c r="D2" i="6" s="1"/>
  <c r="X11" i="5"/>
  <c r="X13" i="5"/>
  <c r="X8" i="5"/>
  <c r="X12" i="5"/>
  <c r="X7" i="5"/>
  <c r="X9" i="5"/>
  <c r="X10" i="5"/>
  <c r="D42" i="6"/>
  <c r="C42" i="6"/>
  <c r="D32" i="6"/>
  <c r="C32" i="6"/>
  <c r="D55" i="6"/>
  <c r="C55" i="6"/>
  <c r="D56" i="6"/>
  <c r="C56" i="6"/>
  <c r="S9" i="5"/>
  <c r="S8" i="5"/>
  <c r="T6" i="5"/>
  <c r="S10" i="5"/>
  <c r="S12" i="5"/>
  <c r="S5" i="5"/>
  <c r="S11" i="5"/>
  <c r="S7" i="5"/>
  <c r="S13" i="5"/>
  <c r="T13" i="5"/>
  <c r="T7" i="5"/>
  <c r="T11" i="5"/>
  <c r="T5" i="5"/>
  <c r="T12" i="5"/>
  <c r="T10" i="5"/>
  <c r="T8"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<sst xmlns="http://schemas.openxmlformats.org/spreadsheetml/2006/main" count="22342" uniqueCount="15826">
  <si>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</si>
  <si>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</si>
  <si>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</si>
  <si>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</si>
  <si>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</si>
  <si>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</si>
  <si>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</si>
  <si>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</si>
  <si>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</si>
  <si>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</si>
  <si>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</si>
  <si>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</si>
  <si>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</si>
  <si>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</si>
  <si>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</si>
  <si>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</si>
  <si>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</si>
  <si>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</si>
  <si>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</si>
  <si>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</si>
  <si>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</si>
  <si>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</si>
  <si>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</si>
  <si>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</si>
  <si>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</si>
  <si>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</si>
  <si>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</si>
  <si>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</si>
  <si>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</si>
  <si>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</si>
  <si>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</si>
  <si>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</si>
  <si>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</si>
  <si>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</si>
  <si>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</si>
  <si>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</si>
  <si>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</si>
  <si>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</si>
  <si>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</si>
  <si>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</si>
  <si>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</si>
  <si>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</si>
  <si>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</si>
  <si>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</si>
  <si>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</si>
  <si>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</si>
  <si>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</si>
  <si>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</si>
  <si>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</si>
  <si>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</si>
  <si>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</si>
  <si>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</si>
  <si>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</si>
  <si>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</si>
  <si>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</si>
  <si>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</si>
  <si>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</si>
  <si>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</si>
  <si>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</si>
  <si>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</si>
  <si>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</si>
  <si>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</si>
  <si>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</si>
  <si>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</si>
  <si>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</si>
  <si>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</si>
  <si>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</si>
  <si>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</si>
  <si>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</si>
  <si>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</si>
  <si>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</si>
  <si>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</si>
  <si>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</si>
  <si>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</si>
  <si>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</si>
  <si>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</si>
  <si>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</si>
  <si>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</si>
  <si>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</si>
  <si>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</si>
  <si>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</si>
  <si>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</si>
  <si>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</si>
  <si>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</si>
  <si>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</si>
  <si>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</si>
  <si>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</si>
  <si>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</si>
  <si>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</si>
  <si>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</si>
  <si>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</si>
  <si>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</si>
  <si>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</si>
  <si>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</si>
  <si>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</si>
  <si>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</si>
  <si>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</si>
  <si>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</si>
  <si>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</si>
  <si>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</si>
  <si>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</si>
  <si>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</si>
  <si>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</si>
  <si>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</si>
  <si>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</si>
  <si>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</si>
  <si>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</si>
  <si>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</si>
  <si>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</si>
  <si>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</si>
  <si>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</si>
  <si>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</si>
  <si>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</si>
  <si>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</si>
  <si>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</si>
  <si>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</si>
  <si>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</si>
  <si>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</si>
  <si>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</si>
  <si>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</si>
  <si>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</si>
  <si>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</si>
  <si>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</si>
  <si>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</si>
  <si>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</si>
  <si>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</si>
  <si>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</si>
  <si>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</si>
  <si>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</si>
  <si>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</si>
  <si>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</si>
  <si>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</si>
  <si>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</si>
  <si>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</si>
  <si>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</si>
  <si>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</si>
  <si>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</si>
  <si>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</si>
  <si>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</si>
  <si>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</si>
  <si>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</si>
  <si>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</si>
  <si>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</si>
  <si>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</si>
  <si>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</si>
  <si>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</si>
  <si>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</si>
  <si>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</si>
  <si>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</si>
  <si>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</si>
  <si>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</si>
  <si>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</si>
  <si>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</si>
  <si>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</si>
  <si>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</si>
  <si>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</si>
  <si>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</si>
  <si>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</si>
  <si>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</si>
  <si>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</si>
  <si>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</si>
  <si>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</si>
  <si>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</si>
  <si>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</si>
  <si>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</si>
  <si>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</si>
  <si>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</si>
  <si>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</si>
  <si>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</si>
  <si>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</si>
  <si>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</si>
  <si>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</si>
  <si>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</si>
  <si>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</si>
  <si>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</si>
  <si>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</si>
  <si>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</si>
  <si>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</si>
  <si>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</si>
  <si>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</si>
  <si>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</si>
  <si>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</si>
  <si>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</si>
  <si>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</si>
  <si>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</si>
  <si>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</si>
  <si>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</si>
  <si>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</si>
  <si>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</si>
  <si>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</si>
  <si>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</si>
  <si>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</si>
  <si>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</si>
  <si>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</si>
  <si>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</si>
  <si>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</si>
  <si>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</si>
  <si>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</si>
  <si>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</si>
  <si>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</si>
  <si>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</si>
  <si>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</si>
  <si>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</si>
  <si>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</si>
  <si>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</si>
  <si>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</si>
  <si>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</si>
  <si>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</si>
  <si>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</si>
  <si>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</si>
  <si>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</si>
  <si>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</si>
  <si>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</si>
  <si>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</si>
  <si>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</si>
  <si>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</si>
  <si>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</si>
  <si>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</si>
  <si>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</si>
  <si>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</si>
  <si>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</si>
  <si>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</si>
  <si>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</si>
  <si>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</si>
  <si>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</si>
  <si>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</si>
  <si>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</si>
  <si>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</si>
  <si>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</si>
  <si>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</si>
  <si>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</si>
  <si>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</si>
  <si>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</si>
  <si>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</si>
  <si>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</si>
  <si>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</si>
  <si>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</si>
  <si>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</si>
  <si>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</si>
  <si>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</si>
  <si>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</si>
  <si>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</si>
  <si>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</si>
  <si>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</si>
  <si>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</si>
  <si>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</si>
  <si>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</si>
  <si>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</si>
  <si>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</si>
  <si>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</si>
  <si>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</si>
  <si>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</si>
  <si>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</si>
  <si>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</si>
  <si>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</si>
  <si>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</si>
  <si>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</si>
  <si>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</si>
  <si>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</si>
  <si>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</si>
  <si>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</si>
  <si>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</si>
  <si>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</si>
  <si>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</si>
  <si>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</si>
  <si>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</si>
  <si>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</si>
  <si>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</si>
  <si>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</si>
  <si>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</si>
  <si>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</si>
  <si>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</si>
  <si>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</si>
  <si>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</si>
  <si>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</si>
  <si>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</si>
  <si>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</si>
  <si>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</si>
  <si>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</si>
  <si>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</si>
  <si>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</si>
  <si>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</si>
  <si>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</si>
  <si>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</si>
  <si>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</si>
  <si>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</si>
  <si>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</si>
  <si>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</si>
  <si>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</si>
  <si>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</si>
  <si>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</si>
  <si>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</si>
  <si>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</si>
  <si>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</si>
  <si>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</si>
  <si>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</si>
  <si>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</si>
  <si>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</si>
  <si>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</si>
  <si>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</si>
  <si>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</si>
  <si>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</si>
  <si>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</si>
  <si>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</si>
  <si>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</si>
  <si>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</si>
  <si>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</si>
  <si>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</si>
  <si>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</si>
  <si>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</si>
  <si>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</si>
  <si>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</si>
  <si>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</si>
  <si>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</si>
  <si>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</si>
  <si>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</si>
  <si>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</si>
  <si>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</si>
  <si>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</si>
  <si>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</si>
  <si>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</si>
  <si>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</si>
  <si>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</si>
  <si>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</si>
  <si>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</si>
  <si>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</si>
  <si>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</si>
  <si>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</si>
  <si>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</si>
  <si>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</si>
  <si>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</si>
  <si>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</si>
  <si>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</si>
  <si>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</si>
  <si>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</si>
  <si>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</si>
  <si>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</si>
  <si>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</si>
  <si>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</si>
  <si>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</si>
  <si>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</si>
  <si>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</si>
  <si>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</si>
  <si>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</si>
  <si>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</si>
  <si>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</si>
  <si>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</si>
  <si>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</si>
  <si>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</si>
  <si>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</si>
  <si>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</si>
  <si>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</si>
  <si>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</si>
  <si>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</si>
  <si>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</si>
  <si>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</si>
  <si>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</si>
  <si>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</si>
  <si>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</si>
  <si>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</si>
  <si>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</si>
  <si>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</si>
  <si>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</si>
  <si>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</si>
  <si>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</si>
  <si>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</si>
  <si>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</si>
  <si>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</si>
  <si>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</si>
  <si>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</si>
  <si>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</si>
  <si>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</si>
  <si>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</si>
  <si>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</si>
  <si>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</si>
  <si>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</si>
  <si>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</si>
  <si>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</si>
  <si>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</si>
  <si>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</si>
  <si>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</si>
  <si>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</si>
  <si>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</si>
  <si>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</si>
  <si>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</si>
  <si>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</si>
  <si>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</si>
  <si>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</si>
  <si>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</si>
  <si>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</si>
  <si>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</si>
  <si>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</si>
  <si>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</si>
  <si>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</si>
  <si>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</si>
  <si>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</si>
  <si>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</si>
  <si>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</si>
  <si>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</si>
  <si>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</si>
  <si>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</si>
  <si>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</si>
  <si>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</si>
  <si>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</si>
  <si>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</si>
  <si>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</si>
  <si>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</si>
  <si>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</si>
  <si>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</si>
  <si>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</si>
  <si>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</si>
  <si>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</si>
  <si>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</si>
  <si>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</si>
  <si>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</si>
  <si>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</si>
  <si>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</si>
  <si>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</si>
  <si>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</si>
  <si>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</si>
  <si>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</si>
  <si>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</si>
  <si>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</si>
  <si>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</si>
  <si>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</si>
  <si>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</si>
  <si>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</si>
  <si>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</si>
  <si>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</si>
  <si>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</si>
  <si>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</si>
  <si>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</si>
  <si>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</si>
  <si>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</si>
  <si>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</si>
  <si>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</si>
  <si>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</si>
  <si>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</si>
  <si>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</si>
  <si>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</si>
  <si>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</si>
  <si>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</si>
  <si>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</si>
  <si>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</si>
  <si>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</si>
  <si>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</si>
  <si>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</si>
  <si>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</si>
  <si>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</si>
  <si>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</si>
  <si>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</si>
  <si>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</si>
  <si>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</si>
  <si>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</si>
  <si>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</si>
  <si>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</si>
  <si>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</si>
  <si>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</si>
  <si>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</si>
  <si>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</si>
  <si>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</si>
  <si>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</si>
  <si>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</si>
  <si>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</si>
  <si>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</si>
  <si>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</si>
  <si>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</si>
  <si>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</si>
  <si>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</si>
  <si>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</si>
  <si>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</si>
  <si>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</si>
  <si>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</si>
  <si>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</si>
  <si>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</si>
  <si>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</si>
  <si>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</si>
  <si>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</si>
  <si>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</si>
  <si>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</si>
  <si>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</si>
  <si>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</si>
  <si>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</si>
  <si>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</si>
  <si>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</si>
  <si>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</si>
  <si>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</si>
  <si>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</si>
  <si>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</si>
  <si>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</si>
  <si>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</si>
  <si>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</si>
  <si>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</si>
  <si>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</si>
  <si>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</si>
  <si>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</si>
  <si>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</si>
  <si>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</si>
  <si>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</si>
  <si>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</si>
  <si>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</si>
  <si>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</si>
  <si>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</si>
  <si>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</si>
  <si>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</si>
  <si>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</si>
  <si>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</si>
  <si>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</si>
  <si>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</si>
  <si>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</si>
  <si>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</si>
  <si>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</si>
  <si>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</si>
  <si>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</si>
  <si>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</si>
  <si>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</si>
  <si>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</si>
  <si>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</si>
  <si>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</si>
  <si>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</si>
  <si>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</si>
  <si>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</si>
  <si>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</si>
  <si>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</si>
  <si>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</si>
  <si>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</si>
  <si>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</si>
  <si>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</si>
  <si>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</si>
  <si>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</si>
  <si>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</si>
  <si>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</si>
  <si>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</si>
  <si>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</si>
  <si>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</si>
  <si>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</si>
  <si>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</si>
  <si>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</si>
  <si>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</si>
  <si>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</si>
  <si>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</si>
  <si>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</si>
  <si>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</si>
  <si>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</si>
  <si>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</si>
  <si>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</si>
  <si>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</si>
  <si>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</si>
  <si>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</si>
  <si>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</si>
  <si>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</si>
  <si>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</si>
  <si>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</si>
  <si>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</si>
  <si>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</si>
  <si>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</si>
  <si>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</si>
  <si>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</si>
  <si>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</si>
  <si>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</si>
  <si>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</si>
  <si>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</si>
  <si>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</si>
  <si>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</si>
  <si>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</si>
  <si>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</si>
  <si>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</si>
  <si>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</si>
  <si>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</si>
  <si>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</si>
  <si>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</si>
  <si>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</si>
  <si>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</si>
  <si>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</si>
  <si>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</si>
  <si>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</si>
  <si>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</si>
  <si>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</si>
  <si>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</si>
  <si>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</si>
  <si>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</si>
  <si>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</si>
  <si>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</si>
  <si>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</si>
  <si>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</si>
  <si>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</si>
  <si>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</si>
  <si>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</si>
  <si>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</si>
  <si>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</si>
  <si>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</si>
  <si>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</si>
  <si>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</si>
  <si>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</si>
  <si>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</si>
  <si>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</si>
  <si>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</si>
  <si>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</si>
  <si>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</si>
  <si>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</si>
  <si>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</si>
  <si>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</si>
  <si>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</si>
  <si>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</si>
  <si>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</si>
  <si>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</si>
  <si>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</si>
  <si>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</si>
  <si>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</si>
  <si>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</si>
  <si>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</si>
  <si>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</si>
  <si>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</si>
  <si>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</si>
  <si>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</si>
  <si>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</si>
  <si>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</si>
  <si>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</si>
  <si>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</si>
  <si>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</si>
  <si>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</si>
  <si>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</si>
  <si>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</si>
  <si>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</si>
  <si>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</si>
  <si>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</si>
  <si>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</si>
  <si>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</si>
  <si>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</si>
  <si>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</si>
  <si>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</si>
  <si>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</si>
  <si>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</si>
  <si>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</si>
  <si>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</si>
  <si>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</si>
  <si>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</si>
  <si>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</si>
  <si>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</si>
  <si>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</si>
  <si>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</si>
  <si>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</si>
  <si>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</si>
  <si>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</si>
  <si>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</si>
  <si>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</si>
  <si>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</si>
  <si>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</si>
  <si>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</si>
  <si>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</si>
  <si>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</si>
  <si>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</si>
  <si>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</si>
  <si>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</si>
  <si>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</si>
  <si>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</si>
  <si>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</si>
  <si>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</si>
  <si>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</si>
  <si>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</si>
  <si>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</si>
  <si>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</si>
  <si>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</si>
  <si>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</si>
  <si>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</si>
  <si>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</si>
  <si>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</si>
  <si>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</si>
  <si>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</si>
  <si>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</si>
  <si>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</si>
  <si>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</si>
  <si>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</si>
  <si>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</si>
  <si>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</si>
  <si>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</si>
  <si>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</si>
  <si>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</si>
  <si>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</si>
  <si>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</si>
  <si>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</si>
  <si>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</si>
  <si>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</si>
  <si>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</si>
  <si>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</si>
  <si>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</si>
  <si>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</si>
  <si>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</si>
  <si>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</si>
  <si>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</si>
  <si>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</si>
  <si>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</si>
  <si>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</si>
  <si>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</si>
  <si>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</si>
  <si>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</si>
  <si>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</si>
  <si>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</si>
  <si>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</si>
  <si>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</si>
  <si>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</si>
  <si>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</si>
  <si>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</si>
  <si>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</si>
  <si>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</si>
  <si>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</si>
  <si>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</si>
  <si>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</si>
  <si>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</si>
  <si>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</si>
  <si>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</si>
  <si>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</si>
  <si>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</si>
  <si>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</si>
  <si>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</si>
  <si>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</si>
  <si>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</si>
  <si>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</si>
  <si>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</si>
  <si>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</si>
  <si>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</si>
  <si>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</si>
  <si>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</si>
  <si>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</si>
  <si>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</si>
  <si>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</si>
  <si>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</si>
  <si>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</si>
  <si>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</si>
  <si>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</si>
  <si>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</si>
  <si>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</si>
  <si>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</si>
  <si>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</si>
  <si>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</si>
  <si>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</si>
  <si>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</si>
  <si>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</si>
  <si>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</si>
  <si>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</si>
  <si>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</si>
  <si>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</si>
  <si>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</si>
  <si>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</si>
  <si>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</si>
  <si>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</si>
  <si>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</si>
  <si>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</si>
  <si>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</si>
  <si>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</si>
  <si>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</si>
  <si>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</si>
  <si>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</si>
  <si>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</si>
  <si>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</si>
  <si>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</si>
  <si>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</si>
  <si>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</si>
  <si>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</si>
  <si>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</si>
  <si>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</si>
  <si>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</si>
  <si>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</si>
  <si>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</si>
  <si>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</si>
  <si>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</si>
  <si>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</si>
  <si>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</si>
  <si>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</si>
  <si>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</si>
  <si>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</si>
  <si>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</si>
  <si>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</si>
  <si>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</si>
  <si>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</si>
  <si>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</si>
  <si>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</si>
  <si>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</si>
  <si>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</si>
  <si>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</si>
  <si>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</si>
  <si>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</si>
  <si>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</si>
  <si>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</si>
  <si>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</si>
  <si>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</si>
  <si>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</si>
  <si>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</si>
  <si>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</si>
  <si>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</si>
  <si>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</si>
  <si>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</si>
  <si>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</si>
  <si>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</si>
  <si>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</si>
  <si>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</si>
  <si>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</si>
  <si>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</si>
  <si>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</si>
  <si>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</si>
  <si>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</si>
  <si>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</si>
  <si>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</si>
  <si>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</si>
  <si>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</si>
  <si>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</si>
  <si>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</si>
  <si>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</si>
  <si>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</si>
  <si>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</si>
  <si>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</si>
  <si>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</si>
  <si>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</si>
  <si>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</si>
  <si>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</si>
  <si>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</si>
  <si>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</si>
  <si>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</si>
  <si>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</si>
  <si>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</si>
  <si>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</si>
  <si>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</si>
  <si>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</si>
  <si>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</si>
  <si>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</si>
  <si>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</si>
  <si>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</si>
  <si>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</si>
  <si>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</si>
  <si>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</si>
  <si>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</si>
  <si>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</si>
  <si>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</si>
  <si>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</si>
  <si>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</si>
  <si>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</si>
  <si>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</si>
  <si>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</si>
  <si>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</si>
  <si>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</si>
  <si>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</si>
  <si>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</si>
  <si>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</si>
  <si>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</si>
  <si>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</si>
  <si>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</si>
  <si>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</si>
  <si>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</si>
  <si>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</si>
  <si>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</si>
  <si>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</si>
  <si>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</si>
  <si>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</si>
  <si>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</si>
  <si>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</si>
  <si>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</si>
  <si>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</si>
  <si>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</si>
  <si>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</si>
  <si>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</si>
  <si>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</si>
  <si>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</si>
  <si>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</si>
  <si>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</si>
  <si>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</si>
  <si>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</si>
  <si>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</si>
  <si>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</si>
  <si>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</si>
  <si>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</si>
  <si>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</si>
  <si>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</si>
  <si>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</si>
  <si>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</si>
  <si>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</si>
  <si>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</si>
  <si>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</si>
  <si>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</si>
  <si>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</si>
  <si>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</si>
  <si>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</si>
  <si>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</si>
  <si>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</si>
  <si>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</si>
  <si>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</si>
  <si>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</si>
  <si>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</si>
  <si>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</si>
  <si>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</si>
  <si>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</si>
  <si>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</si>
  <si>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</si>
  <si>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</si>
  <si>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</si>
  <si>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</si>
  <si>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</si>
  <si>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</si>
  <si>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</si>
  <si>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</si>
  <si>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</si>
  <si>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</si>
  <si>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</si>
  <si>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</si>
  <si>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</si>
  <si>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</si>
  <si>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</si>
  <si>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</si>
  <si>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</si>
  <si>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</si>
  <si>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</si>
  <si>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</si>
  <si>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</si>
  <si>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</si>
  <si>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</si>
  <si>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</si>
  <si>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</si>
  <si>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</si>
  <si>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</si>
  <si>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</si>
  <si>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</si>
  <si>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</si>
  <si>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</si>
  <si>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</si>
  <si>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</si>
  <si>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</si>
  <si>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</si>
  <si>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</si>
  <si>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</si>
  <si>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</si>
  <si>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</si>
  <si>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</si>
  <si>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</si>
  <si>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</si>
  <si>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</si>
  <si>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</si>
  <si>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</si>
  <si>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</si>
  <si>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</si>
  <si>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</si>
  <si>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</si>
  <si>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</si>
  <si>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</si>
  <si>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</si>
  <si>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</si>
  <si>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</si>
  <si>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</si>
  <si>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</si>
  <si>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</si>
  <si>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</si>
  <si>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</si>
  <si>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</si>
  <si>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</si>
  <si>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</si>
  <si>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</si>
  <si>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</si>
  <si>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</si>
  <si>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</si>
  <si>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</si>
  <si>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</si>
  <si>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</si>
  <si>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</si>
  <si>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</si>
  <si>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</si>
  <si>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</si>
  <si>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</si>
  <si>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</si>
  <si>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</si>
  <si>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</si>
  <si>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</si>
  <si>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</si>
  <si>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</si>
  <si>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</si>
  <si>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</si>
  <si>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</si>
  <si>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</si>
  <si>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</si>
  <si>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</si>
  <si>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</si>
  <si>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</si>
  <si>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</si>
  <si>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</si>
  <si>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</si>
  <si>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</si>
  <si>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</si>
  <si>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</si>
  <si>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</si>
  <si>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</si>
  <si>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</si>
  <si>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</si>
  <si>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</si>
  <si>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</si>
  <si>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</si>
  <si>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</si>
  <si>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</si>
  <si>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</si>
  <si>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</si>
  <si>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</si>
  <si>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</si>
  <si>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</si>
  <si>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</si>
  <si>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</si>
  <si>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</si>
  <si>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</si>
  <si>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</si>
  <si>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</si>
  <si>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</si>
  <si>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</si>
  <si>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</si>
  <si>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</si>
  <si>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</si>
  <si>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</si>
  <si>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</si>
  <si>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</si>
  <si>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</si>
  <si>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</si>
  <si>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</si>
  <si>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</si>
  <si>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</si>
  <si>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</si>
  <si>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</si>
  <si>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</si>
  <si>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</si>
  <si>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</si>
  <si>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</si>
  <si>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</si>
  <si>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</si>
  <si>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</si>
  <si>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</si>
  <si>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</si>
  <si>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</si>
  <si>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</si>
  <si>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</si>
  <si>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</si>
  <si>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</si>
  <si>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</si>
  <si>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</si>
  <si>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</si>
  <si>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</si>
  <si>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</si>
  <si>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</si>
  <si>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</si>
  <si>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</si>
  <si>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</si>
  <si>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</si>
  <si>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</si>
  <si>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</si>
  <si>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</si>
  <si>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</si>
  <si>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</si>
  <si>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</si>
  <si>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</si>
  <si>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</si>
  <si>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</si>
  <si>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</si>
  <si>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</si>
  <si>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</si>
  <si>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</si>
  <si>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</si>
  <si>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</si>
  <si>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</si>
  <si>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</si>
  <si>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</si>
  <si>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</si>
  <si>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</si>
  <si>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</si>
  <si>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</si>
  <si>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</si>
  <si>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</si>
  <si>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</si>
  <si>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</si>
  <si>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</si>
  <si>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</si>
  <si>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</si>
  <si>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</si>
  <si>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</si>
  <si>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</si>
  <si>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</si>
  <si>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</si>
  <si>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</si>
  <si>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</si>
  <si>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</si>
  <si>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</si>
  <si>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</si>
  <si>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</si>
  <si>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</si>
  <si>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</si>
  <si>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</si>
  <si>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</si>
  <si>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</si>
  <si>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</si>
  <si>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</si>
  <si>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</si>
  <si>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</si>
  <si>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</si>
  <si>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</si>
  <si>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</si>
  <si>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</si>
  <si>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</si>
  <si>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</si>
  <si>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</si>
  <si>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</si>
  <si>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</si>
  <si>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</si>
  <si>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</si>
  <si>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</si>
  <si>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</si>
  <si>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</si>
  <si>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</si>
  <si>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</si>
  <si>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</si>
  <si>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</si>
  <si>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</si>
  <si>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</si>
  <si>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</si>
  <si>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</si>
  <si>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</si>
  <si>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</si>
  <si>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</si>
  <si>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</si>
  <si>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</si>
  <si>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</si>
  <si>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</si>
  <si>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</si>
  <si>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</si>
  <si>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</si>
  <si>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</si>
  <si>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</si>
  <si>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</si>
  <si>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</si>
  <si>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</si>
  <si>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</si>
  <si>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</si>
  <si>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</si>
  <si>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</si>
  <si>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</si>
  <si>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</si>
  <si>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</si>
  <si>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</si>
  <si>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</si>
  <si>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</si>
  <si>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</si>
  <si>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</si>
  <si>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</si>
  <si>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</si>
  <si>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</si>
  <si>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</si>
  <si>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</si>
  <si>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</si>
  <si>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</si>
  <si>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</si>
  <si>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</si>
  <si>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</si>
  <si>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</si>
  <si>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</si>
  <si>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</si>
  <si>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</si>
  <si>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</si>
  <si>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</si>
  <si>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</si>
  <si>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</si>
  <si>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</si>
  <si>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</si>
  <si>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</si>
  <si>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</si>
  <si>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</si>
  <si>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</si>
  <si>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</si>
  <si>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</si>
  <si>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</si>
  <si>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</si>
  <si>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</si>
  <si>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</si>
  <si>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</si>
  <si>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</si>
  <si>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</si>
  <si>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</si>
  <si>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</si>
  <si>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</si>
  <si>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</si>
  <si>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</si>
  <si>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</si>
  <si>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</si>
  <si>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</si>
  <si>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</si>
  <si>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</si>
  <si>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</si>
  <si>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</si>
  <si>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</si>
  <si>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</si>
  <si>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</si>
  <si>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</si>
  <si>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</si>
  <si>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</si>
  <si>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</si>
  <si>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</si>
  <si>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</si>
  <si>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</si>
  <si>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</si>
  <si>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</si>
  <si>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</si>
  <si>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</si>
  <si>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</si>
  <si>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</si>
  <si>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</si>
  <si>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</si>
  <si>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</si>
  <si>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</si>
  <si>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</si>
  <si>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</si>
  <si>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</si>
  <si>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</si>
  <si>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</si>
  <si>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</si>
  <si>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</si>
  <si>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</si>
  <si>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</si>
  <si>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</si>
  <si>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</si>
  <si>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</si>
  <si>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</si>
  <si>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</si>
  <si>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</si>
  <si>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</si>
  <si>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</si>
  <si>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</si>
  <si>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</si>
  <si>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</si>
  <si>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</si>
  <si>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</si>
  <si>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</si>
  <si>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</si>
  <si>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</si>
  <si>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</si>
  <si>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</si>
  <si>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</si>
  <si>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</si>
  <si>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</si>
  <si>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</si>
  <si>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</si>
  <si>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</si>
  <si>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</si>
  <si>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</si>
  <si>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</si>
  <si>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</si>
  <si>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</si>
  <si>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</si>
  <si>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</si>
  <si>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</si>
  <si>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</si>
  <si>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</si>
  <si>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</si>
  <si>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</si>
  <si>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</si>
  <si>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</si>
  <si>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</si>
  <si>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</si>
  <si>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</si>
  <si>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</si>
  <si>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</si>
  <si>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</si>
  <si>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</si>
  <si>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</si>
  <si>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</si>
  <si>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</si>
  <si>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</si>
  <si>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</si>
  <si>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</si>
  <si>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</si>
  <si>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</si>
  <si>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</si>
  <si>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</si>
  <si>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</si>
  <si>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</si>
  <si>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</si>
  <si>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</si>
  <si>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</si>
  <si>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</si>
  <si>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</si>
  <si>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</si>
  <si>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</si>
  <si>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</si>
  <si>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</si>
  <si>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</si>
  <si>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</si>
  <si>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</si>
  <si>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</si>
  <si>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</si>
  <si>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</si>
  <si>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</si>
  <si>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</si>
  <si>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</si>
  <si>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</si>
  <si>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</si>
  <si>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</si>
  <si>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</si>
  <si>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</si>
  <si>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</si>
  <si>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</si>
  <si>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</si>
  <si>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</si>
  <si>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</si>
  <si>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</si>
  <si>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</si>
  <si>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</si>
  <si>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</si>
  <si>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</si>
  <si>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</si>
  <si>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</si>
  <si>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</si>
  <si>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</si>
  <si>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</si>
  <si>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</si>
  <si>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</si>
  <si>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</si>
  <si>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</si>
  <si>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</si>
  <si>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</si>
  <si>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</si>
  <si>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</si>
  <si>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</si>
  <si>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</si>
  <si>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</si>
  <si>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</si>
  <si>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</si>
  <si>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</si>
  <si>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</si>
  <si>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</si>
  <si>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</si>
  <si>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</si>
  <si>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</si>
  <si>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</si>
  <si>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</si>
  <si>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</si>
  <si>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</si>
  <si>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</si>
  <si>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</si>
  <si>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</si>
  <si>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</si>
  <si>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</si>
  <si>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</si>
  <si>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</si>
  <si>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</si>
  <si>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</si>
  <si>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</si>
  <si>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</si>
  <si>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</si>
  <si>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</si>
  <si>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</si>
  <si>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</si>
  <si>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</si>
  <si>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</si>
  <si>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</si>
  <si>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</si>
  <si>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</si>
  <si>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</si>
  <si>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</si>
  <si>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</si>
  <si>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</si>
  <si>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</si>
  <si>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</si>
  <si>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</si>
  <si>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</si>
  <si>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</si>
  <si>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</si>
  <si>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</si>
  <si>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</si>
  <si>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</si>
  <si>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</si>
  <si>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</si>
  <si>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</si>
  <si>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</si>
  <si>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</si>
  <si>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</si>
  <si>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</si>
  <si>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</si>
  <si>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</si>
  <si>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</si>
  <si>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</si>
  <si>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</si>
  <si>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</si>
  <si>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</si>
  <si>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</si>
  <si>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</si>
  <si>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</si>
  <si>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</si>
  <si>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</si>
  <si>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</si>
  <si>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</si>
  <si>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</si>
  <si>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</si>
  <si>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</si>
  <si>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</si>
  <si>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</si>
  <si>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</si>
  <si>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</si>
  <si>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</si>
  <si>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</si>
  <si>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</si>
  <si>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</si>
  <si>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</si>
  <si>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</si>
  <si>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</si>
  <si>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</si>
  <si>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</si>
  <si>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</si>
  <si>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</si>
  <si>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</si>
  <si>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</si>
  <si>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</si>
  <si>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</si>
  <si>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</si>
  <si>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</si>
  <si>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</si>
  <si>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</si>
  <si>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</si>
  <si>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</si>
  <si>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</si>
  <si>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</si>
  <si>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</si>
  <si>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</si>
  <si>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</si>
  <si>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</si>
  <si>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</si>
  <si>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</si>
  <si>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</si>
  <si>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</si>
  <si>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</si>
  <si>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</si>
  <si>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</si>
  <si>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</si>
  <si>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</si>
  <si>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</si>
  <si>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</si>
  <si>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</si>
  <si>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</si>
  <si>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</si>
  <si>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</si>
  <si>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</si>
  <si>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</si>
  <si>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</si>
  <si>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</si>
  <si>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</si>
  <si>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</si>
  <si>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</si>
  <si>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</si>
  <si>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</si>
  <si>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</si>
  <si>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</si>
  <si>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</si>
  <si>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</si>
  <si>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</si>
  <si>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</si>
  <si>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</si>
  <si>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</si>
  <si>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</si>
  <si>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</si>
  <si>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</si>
  <si>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</si>
  <si>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</si>
  <si>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</si>
  <si>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</si>
  <si>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</si>
  <si>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</si>
  <si>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</si>
  <si>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</si>
  <si>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</si>
  <si>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</si>
  <si>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</si>
  <si>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</si>
  <si>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</si>
  <si>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</si>
  <si>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</si>
  <si>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</si>
  <si>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</si>
  <si>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</si>
  <si>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</si>
  <si>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</si>
  <si>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</si>
  <si>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</si>
  <si>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</si>
  <si>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</si>
  <si>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</si>
  <si>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</si>
  <si>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</si>
  <si>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</si>
  <si>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</si>
  <si>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</si>
  <si>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</si>
  <si>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</si>
  <si>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</si>
  <si>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</si>
  <si>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</si>
  <si>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</si>
  <si>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</si>
  <si>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</si>
  <si>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</si>
  <si>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</si>
  <si>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</si>
  <si>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</si>
  <si>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</si>
  <si>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</si>
  <si>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</si>
  <si>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</si>
  <si>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</si>
  <si>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</si>
  <si>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</si>
  <si>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</si>
  <si>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</si>
  <si>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</si>
  <si>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</si>
  <si>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</si>
  <si>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</si>
  <si>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</si>
  <si>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</si>
  <si>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</si>
  <si>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</si>
  <si>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</si>
  <si>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</si>
  <si>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</si>
  <si>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</si>
  <si>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</si>
  <si>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</si>
  <si>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</si>
  <si>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</si>
  <si>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</si>
  <si>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</si>
  <si>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</si>
  <si>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</si>
  <si>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</si>
  <si>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</si>
  <si>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</si>
  <si>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</si>
  <si>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</si>
  <si>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</si>
  <si>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</si>
  <si>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</si>
  <si>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</si>
  <si>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</si>
  <si>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</si>
  <si>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</si>
  <si>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</si>
  <si>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</si>
  <si>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</si>
  <si>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</si>
  <si>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</si>
  <si>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</si>
  <si>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</si>
  <si>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</si>
  <si>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</si>
  <si>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</si>
  <si>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</si>
  <si>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</si>
  <si>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</si>
  <si>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</si>
  <si>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</si>
  <si>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</si>
  <si>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</si>
  <si>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</si>
  <si>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</si>
  <si>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</si>
  <si>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</si>
  <si>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</si>
  <si>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</si>
  <si>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</si>
  <si>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</si>
  <si>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</si>
  <si>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</si>
  <si>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</si>
  <si>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</si>
  <si>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</si>
  <si>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</si>
  <si>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</si>
  <si>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</si>
  <si>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</si>
  <si>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</si>
  <si>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</si>
  <si>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</si>
  <si>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</si>
  <si>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</si>
  <si>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</si>
  <si>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</si>
  <si>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</si>
  <si>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</si>
  <si>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</si>
  <si>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</si>
  <si>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</si>
  <si>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</si>
  <si>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</si>
  <si>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</si>
  <si>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</si>
  <si>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</si>
  <si>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</si>
  <si>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</si>
  <si>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</si>
  <si>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</si>
  <si>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</si>
  <si>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</si>
  <si>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</si>
  <si>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</si>
  <si>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</si>
  <si>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</si>
  <si>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</si>
  <si>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</si>
  <si>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</si>
  <si>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</si>
  <si>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</si>
  <si>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</si>
  <si>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</si>
  <si>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</si>
  <si>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</si>
  <si>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</si>
  <si>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</si>
  <si>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</si>
  <si>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</si>
  <si>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</si>
  <si>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</si>
  <si>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</si>
  <si>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</si>
  <si>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</si>
  <si>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</si>
  <si>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</si>
  <si>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</si>
  <si>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</si>
  <si>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</si>
  <si>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</si>
  <si>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</si>
  <si>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</si>
  <si>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</si>
  <si>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</si>
  <si>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</si>
  <si>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</si>
  <si>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</si>
  <si>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</si>
  <si>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</si>
  <si>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</si>
  <si>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</si>
  <si>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</si>
  <si>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</si>
  <si>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</si>
  <si>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</si>
  <si>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</si>
  <si>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</si>
  <si>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</si>
  <si>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</si>
  <si>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</si>
  <si>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</si>
  <si>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</si>
  <si>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</si>
  <si>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</si>
  <si>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</si>
  <si>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</si>
  <si>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</si>
  <si>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</si>
  <si>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</si>
  <si>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</si>
  <si>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</si>
  <si>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</si>
  <si>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</si>
  <si>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</si>
  <si>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</si>
  <si>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</si>
  <si>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</si>
  <si>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</si>
  <si>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</si>
  <si>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</si>
  <si>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</si>
  <si>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</si>
  <si>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</si>
  <si>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</si>
  <si>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</si>
  <si>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</si>
  <si>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</si>
  <si>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</si>
  <si>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</si>
  <si>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</si>
  <si>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</si>
  <si>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</si>
  <si>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</si>
  <si>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</si>
  <si>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</si>
  <si>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</si>
  <si>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</si>
  <si>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</si>
  <si>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</si>
  <si>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</si>
  <si>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</si>
  <si>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</si>
  <si>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</si>
  <si>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</si>
  <si>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</si>
  <si>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</si>
  <si>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</si>
  <si>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</si>
  <si>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</si>
  <si>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</si>
  <si>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</si>
  <si>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</si>
  <si>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</si>
  <si>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</si>
  <si>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</si>
  <si>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</si>
  <si>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</si>
  <si>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</si>
  <si>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</si>
  <si>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</si>
  <si>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</si>
  <si>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</si>
  <si>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</si>
  <si>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</si>
  <si>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</si>
  <si>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</si>
  <si>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</si>
  <si>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</si>
  <si>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</si>
  <si>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</si>
  <si>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</si>
  <si>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</si>
  <si>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</si>
  <si>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</si>
  <si>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</si>
  <si>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</si>
  <si>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</si>
  <si>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</si>
  <si>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</si>
  <si>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</si>
  <si>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</si>
  <si>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</si>
  <si>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</si>
  <si>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</si>
  <si>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</si>
  <si>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</si>
  <si>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</si>
  <si>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</si>
  <si>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</si>
  <si>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</si>
  <si>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</si>
  <si>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</si>
  <si>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</si>
  <si>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</si>
  <si>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</si>
  <si>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</si>
  <si>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</si>
  <si>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</si>
  <si>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</si>
  <si>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</si>
  <si>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</si>
  <si>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</si>
  <si>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</si>
  <si>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</si>
  <si>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</si>
  <si>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</si>
  <si>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</si>
  <si>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</si>
  <si>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</si>
  <si>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</si>
  <si>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</si>
  <si>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</si>
  <si>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</si>
  <si>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</si>
  <si>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</si>
  <si>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</si>
  <si>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</si>
  <si>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</si>
  <si>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</si>
  <si>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</si>
  <si>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</si>
  <si>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</si>
  <si>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</si>
  <si>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</si>
  <si>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</si>
  <si>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</si>
  <si>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</si>
  <si>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</si>
  <si>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</si>
  <si>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</si>
  <si>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</si>
  <si>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</si>
  <si>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</si>
  <si>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</si>
  <si>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</si>
  <si>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</si>
  <si>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</si>
  <si>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</si>
  <si>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</si>
  <si>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</si>
  <si>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</si>
  <si>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</si>
  <si>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</si>
  <si>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</si>
  <si>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</si>
  <si>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</si>
  <si>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</si>
  <si>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</si>
  <si>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</si>
  <si>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</si>
  <si>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</si>
  <si>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</si>
  <si>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</si>
  <si>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</si>
  <si>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</si>
  <si>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</si>
  <si>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</si>
  <si>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</si>
  <si>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</si>
  <si>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</si>
  <si>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</si>
  <si>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</si>
  <si>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</si>
  <si>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</si>
  <si>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</si>
  <si>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</si>
  <si>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</si>
  <si>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</si>
  <si>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</si>
  <si>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</si>
  <si>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</si>
  <si>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</si>
  <si>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</si>
  <si>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</si>
  <si>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</si>
  <si>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</si>
  <si>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</si>
  <si>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</si>
  <si>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</si>
  <si>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</si>
  <si>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</si>
  <si>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</si>
  <si>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</si>
  <si>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</si>
  <si>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</si>
  <si>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</si>
  <si>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</si>
  <si>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</si>
  <si>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</si>
  <si>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</si>
  <si>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</si>
  <si>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</si>
  <si>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</si>
  <si>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</si>
  <si>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</si>
  <si>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</si>
  <si>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</si>
  <si>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</si>
  <si>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</si>
  <si>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</si>
  <si>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</si>
  <si>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</si>
  <si>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</si>
  <si>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</si>
  <si>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</si>
  <si>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</si>
  <si>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</si>
  <si>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</si>
  <si>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</si>
  <si>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</si>
  <si>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</si>
  <si>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</si>
  <si>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</si>
  <si>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</si>
  <si>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</si>
  <si>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</si>
  <si>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</si>
  <si>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</si>
  <si>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</si>
  <si>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</si>
  <si>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</si>
  <si>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</si>
  <si>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</si>
  <si>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</si>
  <si>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</si>
  <si>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</si>
  <si>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</si>
  <si>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</si>
  <si>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</si>
  <si>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</si>
  <si>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</si>
  <si>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</si>
  <si>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</si>
  <si>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</si>
  <si>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</si>
  <si>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</si>
  <si>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</si>
  <si>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</si>
  <si>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</si>
  <si>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</si>
  <si>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</si>
  <si>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</si>
  <si>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</si>
  <si>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</si>
  <si>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</si>
  <si>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</si>
  <si>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</si>
  <si>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</si>
  <si>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</si>
  <si>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</si>
  <si>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</si>
  <si>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</si>
  <si>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</si>
  <si>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</si>
  <si>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</si>
  <si>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</si>
  <si>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</si>
  <si>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</si>
  <si>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</si>
  <si>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</si>
  <si>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</si>
  <si>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</si>
  <si>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</si>
  <si>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</si>
  <si>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</si>
  <si>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</si>
  <si>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</si>
  <si>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</si>
  <si>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</si>
  <si>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</si>
  <si>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</si>
  <si>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</si>
  <si>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</si>
  <si>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</si>
  <si>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</si>
  <si>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</si>
  <si>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</si>
  <si>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</si>
  <si>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</si>
  <si>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</si>
  <si>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</si>
  <si>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</si>
  <si>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</si>
  <si>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</si>
  <si>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</si>
  <si>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</si>
  <si>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</si>
  <si>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</si>
  <si>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</si>
  <si>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</si>
  <si>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</si>
  <si>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</si>
  <si>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</si>
  <si>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</si>
  <si>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</si>
  <si>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</si>
  <si>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</si>
  <si>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</si>
  <si>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</si>
  <si>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</si>
  <si>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</si>
  <si>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</si>
  <si>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</si>
  <si>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</si>
  <si>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</si>
  <si>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</si>
  <si>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</si>
  <si>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</si>
  <si>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</si>
  <si>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</si>
  <si>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</si>
  <si>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</si>
  <si>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</si>
  <si>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</si>
  <si>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</si>
  <si>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</si>
  <si>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</si>
  <si>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</si>
  <si>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</si>
  <si>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</si>
  <si>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</si>
  <si>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</si>
  <si>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</si>
  <si>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</si>
  <si>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</si>
  <si>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</si>
  <si>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</si>
  <si>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</si>
  <si>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</si>
  <si>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</si>
  <si>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</si>
  <si>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</si>
  <si>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</si>
  <si>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</si>
  <si>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</si>
  <si>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</si>
  <si>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</si>
  <si>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</si>
  <si>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</si>
  <si>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</si>
  <si>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</si>
  <si>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</si>
  <si>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</si>
  <si>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</si>
  <si>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</si>
  <si>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</si>
  <si>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</si>
  <si>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</si>
  <si>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</si>
  <si>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</si>
  <si>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</si>
  <si>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</si>
  <si>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</si>
  <si>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</si>
  <si>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</si>
  <si>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</si>
  <si>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</si>
  <si>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</si>
  <si>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</si>
  <si>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</si>
  <si>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</si>
  <si>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</si>
  <si>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</si>
  <si>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</si>
  <si>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</si>
  <si>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</si>
  <si>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</si>
  <si>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</si>
  <si>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</si>
  <si>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</si>
  <si>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</si>
  <si>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</si>
  <si>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</si>
  <si>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</si>
  <si>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</si>
  <si>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</si>
  <si>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</si>
  <si>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</si>
  <si>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</si>
  <si>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</si>
  <si>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</si>
  <si>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</si>
  <si>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</si>
  <si>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</si>
  <si>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</si>
  <si>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</si>
  <si>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</si>
  <si>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</si>
  <si>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</si>
  <si>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</si>
  <si>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</si>
  <si>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</si>
  <si>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</si>
  <si>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</si>
  <si>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</si>
  <si>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</si>
  <si>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</si>
  <si>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</si>
  <si>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</si>
  <si>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</si>
  <si>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</si>
  <si>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</si>
  <si>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</si>
  <si>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</si>
  <si>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</si>
  <si>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</si>
  <si>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</si>
  <si>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</si>
  <si>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</si>
  <si>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</si>
  <si>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</si>
  <si>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</si>
  <si>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</si>
  <si>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</si>
  <si>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</si>
  <si>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</si>
  <si>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</si>
  <si>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</si>
  <si>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</si>
  <si>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</si>
  <si>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</si>
  <si>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</si>
  <si>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</si>
  <si>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</si>
  <si>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</si>
  <si>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</si>
  <si>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</si>
  <si>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</si>
  <si>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</si>
  <si>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</si>
  <si>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</si>
  <si>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</si>
  <si>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</si>
  <si>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</si>
  <si>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</si>
  <si>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</si>
  <si>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</si>
  <si>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</si>
  <si>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</si>
  <si>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</si>
  <si>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</si>
  <si>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</si>
  <si>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</si>
  <si>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</si>
  <si>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</si>
  <si>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</si>
  <si>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</si>
  <si>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</si>
  <si>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</si>
  <si>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</si>
  <si>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</si>
  <si>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</si>
  <si>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</si>
  <si>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</si>
  <si>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</si>
  <si>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</si>
  <si>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</si>
  <si>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</si>
  <si>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</si>
  <si>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</si>
  <si>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</si>
  <si>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</si>
  <si>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</si>
  <si>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</si>
  <si>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</si>
  <si>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</si>
  <si>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</si>
  <si>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</si>
  <si>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</si>
  <si>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</si>
  <si>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</si>
  <si>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</si>
  <si>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</si>
  <si>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</si>
  <si>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</si>
  <si>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</si>
  <si>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</si>
  <si>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</si>
  <si>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</si>
  <si>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</si>
  <si>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</si>
  <si>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</si>
  <si>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</si>
  <si>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</si>
  <si>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</si>
  <si>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</si>
  <si>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</si>
  <si>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</si>
  <si>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</si>
  <si>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</si>
  <si>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</si>
  <si>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</si>
  <si>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</si>
  <si>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</si>
  <si>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</si>
  <si>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</si>
  <si>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</si>
  <si>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</si>
  <si>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</si>
  <si>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</si>
  <si>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</si>
  <si>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</si>
  <si>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</si>
  <si>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</si>
  <si>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</si>
  <si>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</si>
  <si>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</si>
  <si>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</si>
  <si>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</si>
  <si>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</si>
  <si>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</si>
  <si>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</si>
  <si>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</si>
  <si>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</si>
  <si>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</si>
  <si>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</si>
  <si>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</si>
  <si>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</si>
  <si>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</si>
  <si>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</si>
  <si>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</si>
  <si>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</si>
  <si>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</si>
  <si>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</si>
  <si>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</si>
  <si>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</si>
  <si>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</si>
  <si>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</si>
  <si>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</si>
  <si>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</si>
  <si>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</si>
  <si>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</si>
  <si>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</si>
  <si>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</si>
  <si>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</si>
  <si>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</si>
  <si>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</si>
  <si>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</si>
  <si>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</si>
  <si>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</si>
  <si>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</si>
  <si>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</si>
  <si>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</si>
  <si>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</si>
  <si>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</si>
  <si>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</si>
  <si>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</si>
  <si>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</si>
  <si>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</si>
  <si>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</si>
  <si>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</si>
  <si>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</si>
  <si>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</si>
  <si>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</si>
  <si>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</si>
  <si>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</si>
  <si>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</si>
  <si>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</si>
  <si>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</si>
  <si>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</si>
  <si>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</si>
  <si>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</si>
  <si>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</si>
  <si>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</si>
  <si>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</si>
  <si>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</si>
  <si>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</si>
  <si>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</si>
  <si>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</si>
  <si>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</si>
  <si>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</si>
  <si>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</si>
  <si>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</si>
  <si>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</si>
  <si>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</si>
  <si>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</si>
  <si>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</si>
  <si>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</si>
  <si>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</si>
  <si>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</si>
  <si>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</si>
  <si>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</si>
  <si>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</si>
  <si>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</si>
  <si>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</si>
  <si>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</si>
  <si>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</si>
  <si>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</si>
  <si>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</si>
  <si>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</si>
  <si>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</si>
  <si>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</si>
  <si>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</si>
  <si>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</si>
  <si>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</si>
  <si>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</si>
  <si>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</si>
  <si>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</si>
  <si>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</si>
  <si>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</si>
  <si>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</si>
  <si>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</si>
  <si>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</si>
  <si>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</si>
  <si>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</si>
  <si>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</si>
  <si>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</si>
  <si>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</si>
  <si>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</si>
  <si>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</si>
  <si>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</si>
  <si>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</si>
  <si>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</si>
  <si>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</si>
  <si>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</si>
  <si>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</si>
  <si>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</si>
  <si>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</si>
  <si>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</si>
  <si>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</si>
  <si>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</si>
  <si>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</si>
  <si>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</si>
  <si>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</si>
  <si>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</si>
  <si>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</si>
  <si>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</si>
  <si>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</si>
  <si>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</si>
  <si>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</si>
  <si>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</si>
  <si>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</si>
  <si>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</si>
  <si>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</si>
  <si>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</si>
  <si>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</si>
  <si>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</si>
  <si>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</si>
  <si>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</si>
  <si>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</si>
  <si>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</si>
  <si>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</si>
  <si>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</si>
  <si>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</si>
  <si>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</si>
  <si>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</si>
  <si>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</si>
  <si>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</si>
  <si>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</si>
  <si>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</si>
  <si>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</si>
  <si>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</si>
  <si>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</si>
  <si>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</si>
  <si>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</si>
  <si>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</si>
  <si>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</si>
  <si>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</si>
  <si>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</si>
  <si>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</si>
  <si>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</si>
  <si>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</si>
  <si>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</si>
  <si>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</si>
  <si>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</si>
  <si>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</si>
  <si>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</si>
  <si>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</si>
  <si>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</si>
  <si>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</si>
  <si>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</si>
  <si>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</si>
  <si>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</si>
  <si>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</si>
  <si>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</si>
  <si>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</si>
  <si>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</si>
  <si>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</si>
  <si>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</si>
  <si>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</si>
  <si>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</si>
  <si>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</si>
  <si>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</si>
  <si>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</si>
  <si>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</si>
  <si>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</si>
  <si>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</si>
  <si>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</si>
  <si>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</si>
  <si>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</si>
  <si>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</si>
  <si>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</si>
  <si>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</si>
  <si>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</si>
  <si>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</si>
  <si>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</si>
  <si>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</si>
  <si>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</si>
  <si>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</si>
  <si>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</si>
  <si>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</si>
  <si>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</si>
  <si>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</si>
  <si>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</si>
  <si>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</si>
  <si>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</si>
  <si>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</si>
  <si>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</si>
  <si>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</si>
  <si>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</si>
  <si>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</si>
  <si>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</si>
  <si>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</si>
  <si>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</si>
  <si>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</si>
  <si>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</si>
  <si>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</si>
  <si>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</si>
  <si>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</si>
  <si>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</si>
  <si>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</si>
  <si>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</si>
  <si>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</si>
  <si>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</si>
  <si>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</si>
  <si>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</si>
  <si>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</si>
  <si>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</si>
  <si>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</si>
  <si>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</si>
  <si>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</si>
  <si>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</si>
  <si>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</si>
  <si>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</si>
  <si>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</si>
  <si>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</si>
  <si>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</si>
  <si>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</si>
  <si>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</si>
  <si>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</si>
  <si>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</si>
  <si>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</si>
  <si>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</si>
  <si>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</si>
  <si>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</si>
  <si>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</si>
  <si>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</si>
  <si>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</si>
  <si>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</si>
  <si>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</si>
  <si>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</si>
  <si>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</si>
  <si>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</si>
  <si>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</si>
  <si>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</si>
  <si>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</si>
  <si>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</si>
  <si>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</si>
  <si>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</si>
  <si>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</si>
  <si>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</si>
  <si>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</si>
  <si>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</si>
  <si>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</si>
  <si>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</si>
  <si>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</si>
  <si>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</si>
  <si>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</si>
  <si>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</si>
  <si>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</si>
  <si>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</si>
  <si>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</si>
  <si>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</si>
  <si>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</si>
  <si>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</si>
  <si>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</si>
  <si>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</si>
  <si>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</si>
  <si>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</si>
  <si>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</si>
  <si>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</si>
  <si>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</si>
  <si>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</si>
  <si>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</si>
  <si>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</si>
  <si>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</si>
  <si>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</si>
  <si>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</si>
  <si>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</si>
  <si>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</si>
  <si>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</si>
  <si>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</si>
  <si>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</si>
  <si>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</si>
  <si>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</si>
  <si>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</si>
  <si>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</si>
  <si>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</si>
  <si>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</si>
  <si>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</si>
  <si>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</si>
  <si>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</si>
  <si>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</si>
  <si>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</si>
  <si>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</si>
  <si>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</si>
  <si>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</si>
  <si>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</si>
  <si>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</si>
  <si>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</si>
  <si>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</si>
  <si>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</si>
  <si>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</si>
  <si>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</si>
  <si>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</si>
  <si>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</si>
  <si>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</si>
  <si>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</si>
  <si>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</si>
  <si>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</si>
  <si>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</si>
  <si>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</si>
  <si>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</si>
  <si>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</si>
  <si>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</si>
  <si>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</si>
  <si>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</si>
  <si>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</si>
  <si>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</si>
  <si>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</si>
  <si>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</si>
  <si>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</si>
  <si>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</si>
  <si>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</si>
  <si>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</si>
  <si>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</si>
  <si>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</si>
  <si>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</si>
  <si>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</si>
  <si>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</si>
  <si>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</si>
  <si>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</si>
  <si>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</si>
  <si>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</si>
  <si>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</si>
  <si>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</si>
  <si>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</si>
  <si>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</si>
  <si>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</si>
  <si>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</si>
  <si>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</si>
  <si>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</si>
  <si>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</si>
  <si>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</si>
  <si>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</si>
  <si>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</si>
  <si>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</si>
  <si>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</si>
  <si>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</si>
  <si>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</si>
  <si>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</si>
  <si>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</si>
  <si>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</si>
  <si>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</si>
  <si>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</si>
  <si>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</si>
  <si>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</si>
  <si>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</si>
  <si>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</si>
  <si>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</si>
  <si>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</si>
  <si>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</si>
  <si>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</si>
  <si>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</si>
  <si>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</si>
  <si>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</si>
  <si>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</si>
  <si>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</si>
  <si>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</si>
  <si>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</si>
  <si>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</si>
  <si>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</si>
  <si>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</si>
  <si>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</si>
  <si>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</si>
  <si>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</si>
  <si>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</si>
  <si>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</si>
  <si>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</si>
  <si>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</si>
  <si>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</si>
  <si>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</si>
  <si>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</si>
  <si>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</si>
  <si>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</si>
  <si>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</si>
  <si>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</si>
  <si>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</si>
  <si>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</si>
  <si>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</si>
  <si>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</si>
  <si>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</si>
  <si>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</si>
  <si>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</si>
  <si>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</si>
  <si>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</si>
  <si>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</si>
  <si>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</si>
  <si>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</si>
  <si>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</si>
  <si>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</si>
  <si>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</si>
  <si>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</si>
  <si>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</si>
  <si>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</si>
  <si>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</si>
  <si>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</si>
  <si>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</si>
  <si>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</si>
  <si>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</si>
  <si>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</si>
  <si>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</si>
  <si>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</si>
  <si>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</si>
  <si>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</si>
  <si>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</si>
  <si>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</si>
  <si>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</si>
  <si>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</si>
  <si>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</si>
  <si>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</si>
  <si>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</si>
  <si>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</si>
  <si>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</si>
  <si>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</si>
  <si>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</si>
  <si>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</si>
  <si>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</si>
  <si>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</si>
  <si>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</si>
  <si>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</si>
  <si>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</si>
  <si>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</si>
  <si>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</si>
  <si>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</si>
  <si>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</si>
  <si>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</si>
  <si>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</si>
  <si>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</si>
  <si>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</si>
  <si>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</si>
  <si>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</si>
  <si>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</si>
  <si>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</si>
  <si>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</si>
  <si>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</si>
  <si>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</si>
  <si>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</si>
  <si>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</si>
  <si>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</si>
  <si>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</si>
  <si>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</si>
  <si>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</si>
  <si>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</si>
  <si>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</si>
  <si>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</si>
  <si>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</si>
  <si>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</si>
  <si>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</si>
  <si>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</si>
  <si>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</si>
  <si>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</si>
  <si>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</si>
  <si>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</si>
  <si>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</si>
  <si>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</si>
  <si>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</si>
  <si>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</si>
  <si>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</si>
  <si>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</si>
  <si>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</si>
  <si>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</si>
  <si>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</si>
  <si>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</si>
  <si>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</si>
  <si>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</si>
  <si>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</si>
  <si>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</si>
  <si>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</si>
  <si>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</si>
  <si>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</si>
  <si>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</si>
  <si>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</si>
  <si>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</si>
  <si>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</si>
  <si>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</si>
  <si>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</si>
  <si>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</si>
  <si>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</si>
  <si>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</si>
  <si>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</si>
  <si>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</si>
  <si>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</si>
  <si>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</si>
  <si>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</si>
  <si>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</si>
  <si>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</si>
  <si>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</si>
  <si>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</si>
  <si>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</si>
  <si>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</si>
  <si>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</si>
  <si>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</si>
  <si>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</si>
  <si>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</si>
  <si>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</si>
  <si>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</si>
  <si>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</si>
  <si>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</si>
  <si>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</si>
  <si>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</si>
  <si>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</si>
  <si>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</si>
  <si>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</si>
  <si>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</si>
  <si>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</si>
  <si>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</si>
  <si>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</si>
  <si>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</si>
  <si>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</si>
  <si>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</si>
  <si>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</si>
  <si>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</si>
  <si>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</si>
  <si>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</si>
  <si>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</si>
  <si>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</si>
  <si>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</si>
  <si>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</si>
  <si>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</si>
  <si>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</si>
  <si>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</si>
  <si>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</si>
  <si>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</si>
  <si>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</si>
  <si>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</si>
  <si>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</si>
  <si>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</si>
  <si>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</si>
  <si>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</si>
  <si>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</si>
  <si>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</si>
  <si>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</si>
  <si>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</si>
  <si>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</si>
  <si>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</si>
  <si>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</si>
  <si>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</si>
  <si>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</si>
  <si>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</si>
  <si>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</si>
  <si>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</si>
  <si>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</si>
  <si>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</si>
  <si>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</si>
  <si>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</si>
  <si>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</si>
  <si>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</si>
  <si>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</si>
  <si>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</si>
  <si>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</si>
  <si>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</si>
  <si>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</si>
  <si>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</si>
  <si>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</si>
  <si>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</si>
  <si>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</si>
  <si>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</si>
  <si>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</si>
  <si>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</si>
  <si>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</si>
  <si>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</si>
  <si>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</si>
  <si>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</si>
  <si>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</si>
  <si>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</si>
  <si>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</si>
  <si>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</si>
  <si>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</si>
  <si>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</si>
  <si>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</si>
  <si>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</si>
  <si>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</si>
  <si>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</si>
  <si>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</si>
  <si>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</si>
  <si>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</si>
  <si>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</si>
  <si>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</si>
  <si>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</si>
  <si>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</si>
  <si>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</si>
  <si>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</si>
  <si>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</si>
  <si>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</si>
  <si>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</si>
  <si>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</si>
  <si>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</si>
  <si>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</si>
  <si>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</si>
  <si>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</si>
  <si>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</si>
  <si>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</si>
  <si>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</si>
  <si>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</si>
  <si>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</si>
  <si>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</si>
  <si>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</si>
  <si>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</si>
  <si>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</si>
  <si>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</si>
  <si>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</si>
  <si>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</si>
  <si>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</si>
  <si>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</si>
  <si>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</si>
  <si>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</si>
  <si>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</si>
  <si>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</si>
  <si>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</si>
  <si>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</si>
  <si>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</si>
  <si>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</si>
  <si>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</si>
  <si>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</si>
  <si>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</si>
  <si>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</si>
  <si>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</si>
  <si>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</si>
  <si>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</si>
  <si>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</si>
  <si>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</si>
  <si>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</si>
  <si>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</si>
  <si>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</si>
  <si>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</si>
  <si>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</si>
  <si>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</si>
  <si>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</si>
  <si>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</si>
  <si>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</si>
  <si>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</si>
  <si>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</si>
  <si>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</si>
  <si>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</si>
  <si>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</si>
  <si>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</si>
  <si>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</si>
  <si>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</si>
  <si>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</si>
  <si>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</si>
  <si>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</si>
  <si>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</si>
  <si>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</si>
  <si>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</si>
  <si>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</si>
  <si>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</si>
  <si>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</si>
  <si>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</si>
  <si>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</si>
  <si>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</si>
  <si>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</si>
  <si>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</si>
  <si>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</si>
  <si>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</si>
  <si>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</si>
  <si>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</si>
  <si>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</si>
  <si>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</si>
  <si>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</si>
  <si>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</si>
  <si>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</si>
  <si>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</si>
  <si>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</si>
  <si>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</si>
  <si>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</si>
  <si>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</si>
  <si>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</si>
  <si>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</si>
  <si>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</si>
  <si>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</si>
  <si>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</si>
  <si>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</si>
  <si>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</si>
  <si>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</si>
  <si>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</si>
  <si>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</si>
  <si>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</si>
  <si>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</si>
  <si>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</si>
  <si>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</si>
  <si>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</si>
  <si>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</si>
  <si>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</si>
  <si>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</si>
  <si>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</si>
  <si>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</si>
  <si>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</si>
  <si>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</si>
  <si>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</si>
  <si>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</si>
  <si>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</si>
  <si>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</si>
  <si>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</si>
  <si>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</si>
  <si>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</si>
  <si>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</si>
  <si>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</si>
  <si>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</si>
  <si>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</si>
  <si>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</si>
  <si>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</si>
  <si>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</si>
  <si>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</si>
  <si>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</si>
  <si>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</si>
  <si>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</si>
  <si>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</si>
  <si>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</si>
  <si>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</si>
  <si>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</si>
  <si>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</si>
  <si>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</si>
  <si>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</si>
  <si>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</si>
  <si>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</si>
  <si>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</si>
  <si>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</si>
  <si>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</si>
  <si>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</si>
  <si>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</si>
  <si>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</si>
  <si>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</si>
  <si>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</si>
  <si>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</si>
  <si>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</si>
  <si>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</si>
  <si>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</si>
  <si>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</si>
  <si>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</si>
  <si>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</si>
  <si>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</si>
  <si>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</si>
  <si>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</si>
  <si>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</si>
  <si>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</si>
  <si>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</si>
  <si>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</si>
  <si>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</si>
  <si>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</si>
  <si>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</si>
  <si>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</si>
  <si>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</si>
  <si>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</si>
  <si>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</si>
  <si>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</si>
  <si>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</si>
  <si>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</si>
  <si>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</si>
  <si>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</si>
  <si>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</si>
  <si>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</si>
  <si>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</si>
  <si>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</si>
  <si>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</si>
  <si>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</si>
  <si>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</si>
  <si>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</si>
  <si>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</si>
  <si>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</si>
  <si>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</si>
  <si>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</si>
  <si>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</si>
  <si>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</si>
  <si>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</si>
  <si>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</si>
  <si>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</si>
  <si>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</si>
  <si>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</si>
  <si>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</si>
  <si>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</si>
  <si>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</si>
  <si>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</si>
  <si>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</si>
  <si>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</si>
  <si>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</si>
  <si>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</si>
  <si>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</si>
  <si>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</si>
  <si>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</si>
  <si>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</si>
  <si>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</si>
  <si>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</si>
  <si>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</si>
  <si>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</si>
  <si>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</si>
  <si>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</si>
  <si>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</si>
  <si>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</si>
  <si>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</si>
  <si>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</si>
  <si>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</si>
  <si>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</si>
  <si>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</si>
  <si>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</si>
  <si>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</si>
  <si>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</si>
  <si>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</si>
  <si>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</si>
  <si>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</si>
  <si>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</si>
  <si>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</si>
  <si>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</si>
  <si>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</si>
  <si>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</si>
  <si>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</si>
  <si>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</si>
  <si>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</si>
  <si>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</si>
  <si>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</si>
  <si>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</si>
  <si>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</si>
  <si>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</si>
  <si>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</si>
  <si>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</si>
  <si>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</si>
  <si>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</si>
  <si>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</si>
  <si>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</si>
  <si>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</si>
  <si>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</si>
  <si>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</si>
  <si>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</si>
  <si>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</si>
  <si>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</si>
  <si>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</si>
  <si>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</si>
  <si>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</si>
  <si>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</si>
  <si>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</si>
  <si>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</si>
  <si>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</si>
  <si>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</si>
  <si>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</si>
  <si>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</si>
  <si>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</si>
  <si>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</si>
  <si>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</si>
  <si>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</si>
  <si>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</si>
  <si>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</si>
  <si>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</si>
  <si>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</si>
  <si>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</si>
  <si>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</si>
  <si>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</si>
  <si>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</si>
  <si>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</si>
  <si>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</si>
  <si>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</si>
  <si>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</si>
  <si>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</si>
  <si>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</si>
  <si>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</si>
  <si>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</si>
  <si>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</si>
  <si>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</si>
  <si>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</si>
  <si>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</si>
  <si>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</si>
  <si>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</si>
  <si>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</si>
  <si>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</si>
  <si>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</si>
  <si>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</si>
  <si>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</si>
  <si>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</si>
  <si>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</si>
  <si>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</si>
  <si>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</si>
  <si>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</si>
  <si>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</si>
  <si>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</si>
  <si>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</si>
  <si>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</si>
  <si>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</si>
  <si>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</si>
  <si>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</si>
  <si>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</si>
  <si>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</si>
  <si>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</si>
  <si>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</si>
  <si>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</si>
  <si>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</si>
  <si>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</si>
  <si>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</si>
  <si>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</si>
  <si>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</si>
  <si>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</si>
  <si>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</si>
  <si>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</si>
  <si>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</si>
  <si>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</si>
  <si>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</si>
  <si>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</si>
  <si>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</si>
  <si>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</si>
  <si>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</si>
  <si>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</si>
  <si>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</si>
  <si>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</si>
  <si>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</si>
  <si>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</si>
  <si>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</si>
  <si>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</si>
  <si>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</si>
  <si>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</si>
  <si>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</si>
  <si>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</si>
  <si>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</si>
  <si>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</si>
  <si>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</si>
  <si>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</si>
  <si>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</si>
  <si>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</si>
  <si>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</si>
  <si>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</si>
  <si>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</si>
  <si>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</si>
  <si>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</si>
  <si>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</si>
  <si>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</si>
  <si>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</si>
  <si>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</si>
  <si>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</si>
  <si>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</si>
  <si>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</si>
  <si>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</si>
  <si>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</si>
  <si>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</si>
  <si>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</si>
  <si>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</si>
  <si>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</si>
  <si>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</si>
  <si>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</si>
  <si>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</si>
  <si>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</si>
  <si>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</si>
  <si>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</si>
  <si>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</si>
  <si>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</si>
  <si>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</si>
  <si>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</si>
  <si>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</si>
  <si>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</si>
  <si>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</si>
  <si>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</si>
  <si>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</si>
  <si>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</si>
  <si>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</si>
  <si>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</si>
  <si>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</si>
  <si>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</si>
  <si>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</si>
  <si>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</si>
  <si>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</si>
  <si>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</si>
  <si>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</si>
  <si>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</si>
  <si>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</si>
  <si>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</si>
  <si>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</si>
  <si>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</si>
  <si>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</si>
  <si>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</si>
  <si>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</si>
  <si>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</si>
  <si>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</si>
  <si>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</si>
  <si>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</si>
  <si>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</si>
  <si>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</si>
  <si>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</si>
  <si>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</si>
  <si>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</si>
  <si>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</si>
  <si>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</si>
  <si>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</si>
  <si>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</si>
  <si>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</si>
  <si>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</si>
  <si>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</si>
  <si>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</si>
  <si>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</si>
  <si>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</si>
  <si>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</si>
  <si>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</si>
  <si>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</si>
  <si>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</si>
  <si>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</si>
  <si>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</si>
  <si>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</si>
  <si>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</si>
  <si>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</si>
  <si>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</si>
  <si>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</si>
  <si>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</si>
  <si>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</si>
  <si>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</si>
  <si>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</si>
  <si>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</si>
  <si>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</si>
  <si>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</si>
  <si>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</si>
  <si>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</si>
  <si>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</si>
  <si>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</si>
  <si>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</si>
  <si>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</si>
  <si>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</si>
  <si>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</si>
  <si>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</si>
  <si>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</si>
  <si>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</si>
  <si>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</si>
  <si>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</si>
  <si>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</si>
  <si>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</si>
  <si>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</si>
  <si>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</si>
  <si>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</si>
  <si>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</si>
  <si>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</si>
  <si>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</si>
  <si>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</si>
  <si>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</si>
  <si>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</si>
  <si>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</si>
  <si>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</si>
  <si>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</si>
  <si>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</si>
  <si>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</si>
  <si>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</si>
  <si>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</si>
  <si>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</si>
  <si>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</si>
  <si>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</si>
  <si>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</si>
  <si>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</si>
  <si>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</si>
  <si>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</si>
  <si>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</si>
  <si>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</si>
  <si>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</si>
  <si>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</si>
  <si>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</si>
  <si>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</si>
  <si>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</si>
  <si>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</si>
  <si>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</si>
  <si>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</si>
  <si>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</si>
  <si>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</si>
  <si>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</si>
  <si>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</si>
  <si>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</si>
  <si>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</si>
  <si>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</si>
  <si>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</si>
  <si>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</si>
  <si>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</si>
  <si>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</si>
  <si>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</si>
  <si>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</si>
  <si>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</si>
  <si>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</si>
  <si>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</si>
  <si>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</si>
  <si>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</si>
  <si>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</si>
  <si>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</si>
  <si>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</si>
  <si>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</si>
  <si>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</si>
  <si>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</si>
  <si>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</si>
  <si>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</si>
  <si>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</si>
  <si>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</si>
  <si>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</si>
  <si>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</si>
  <si>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</si>
  <si>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</si>
  <si>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</si>
  <si>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</si>
  <si>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</si>
  <si>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</si>
  <si>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</si>
  <si>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</si>
  <si>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</si>
  <si>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</si>
  <si>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</si>
  <si>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</si>
  <si>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</si>
  <si>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</si>
  <si>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</si>
  <si>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</si>
  <si>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</si>
  <si>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</si>
  <si>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</si>
  <si>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</si>
  <si>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</si>
  <si>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</si>
  <si>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</si>
  <si>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</si>
  <si>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</si>
  <si>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</si>
  <si>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</si>
  <si>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</si>
  <si>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</si>
  <si>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</si>
  <si>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</si>
  <si>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</si>
  <si>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</si>
  <si>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</si>
  <si>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</si>
  <si>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</si>
  <si>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</si>
  <si>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</si>
  <si>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</si>
  <si>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</si>
  <si>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</si>
  <si>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</si>
  <si>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</si>
  <si>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</si>
  <si>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</si>
  <si>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</si>
  <si>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</si>
  <si>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</si>
  <si>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</si>
  <si>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</si>
  <si>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</si>
  <si>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</si>
  <si>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</si>
  <si>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</si>
  <si>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</si>
  <si>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</si>
  <si>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</si>
  <si>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</si>
  <si>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</si>
  <si>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</si>
  <si>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</si>
  <si>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</si>
  <si>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</si>
  <si>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</si>
  <si>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</si>
  <si>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</si>
  <si>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</si>
  <si>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</si>
  <si>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</si>
  <si>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</si>
  <si>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</si>
  <si>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</si>
  <si>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</si>
  <si>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</si>
  <si>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</si>
  <si>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</si>
  <si>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</si>
  <si>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</si>
  <si>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</si>
  <si>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</si>
  <si>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</si>
  <si>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</si>
  <si>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</si>
  <si>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</si>
  <si>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</si>
  <si>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</si>
  <si>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</si>
  <si>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</si>
  <si>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</si>
  <si>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</si>
  <si>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</si>
  <si>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</si>
  <si>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</si>
  <si>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</si>
  <si>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</si>
  <si>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</si>
  <si>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</si>
  <si>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</si>
  <si>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</si>
  <si>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</si>
  <si>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</si>
  <si>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</si>
  <si>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</si>
  <si>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</si>
  <si>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</si>
  <si>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</si>
  <si>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</si>
  <si>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</si>
  <si>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</si>
  <si>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</si>
  <si>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</si>
  <si>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</si>
  <si>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</si>
  <si>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</si>
  <si>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</si>
  <si>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</si>
  <si>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</si>
  <si>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</si>
  <si>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</si>
  <si>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</si>
  <si>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</si>
  <si>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</si>
  <si>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</si>
  <si>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</si>
  <si>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</si>
  <si>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</si>
  <si>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</si>
  <si>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</si>
  <si>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</si>
  <si>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</si>
  <si>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</si>
  <si>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</si>
  <si>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</si>
  <si>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</si>
  <si>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</si>
  <si>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</si>
  <si>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</si>
  <si>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</si>
  <si>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</si>
  <si>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</si>
  <si>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</si>
  <si>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</si>
  <si>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</si>
  <si>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</si>
  <si>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</si>
  <si>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</si>
  <si>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</si>
  <si>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</si>
  <si>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</si>
  <si>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</si>
  <si>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</si>
  <si>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</si>
  <si>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</si>
  <si>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</si>
  <si>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</si>
  <si>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</si>
  <si>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</si>
  <si>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</si>
  <si>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</si>
  <si>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</si>
  <si>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</si>
  <si>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</si>
  <si>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</si>
  <si>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</si>
  <si>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</si>
  <si>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</si>
  <si>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</si>
  <si>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</si>
  <si>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</si>
  <si>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</si>
  <si>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</si>
  <si>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</si>
  <si>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</si>
  <si>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</si>
  <si>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</si>
  <si>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</si>
  <si>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</si>
  <si>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</si>
  <si>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</si>
  <si>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</si>
  <si>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</si>
  <si>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</si>
  <si>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</si>
  <si>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</si>
  <si>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</si>
  <si>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</si>
  <si>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</si>
  <si>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</si>
  <si>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</si>
  <si>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</si>
  <si>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</si>
  <si>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</si>
  <si>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</si>
  <si>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</si>
  <si>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</si>
  <si>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</si>
  <si>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</si>
  <si>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</si>
  <si>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</si>
  <si>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</si>
  <si>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</si>
  <si>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</si>
  <si>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</si>
  <si>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</si>
  <si>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</si>
  <si>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</si>
  <si>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</si>
  <si>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</si>
  <si>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</si>
  <si>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</si>
  <si>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</si>
  <si>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</si>
  <si>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</si>
  <si>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</si>
  <si>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</si>
  <si>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</si>
  <si>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</si>
  <si>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</si>
  <si>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</si>
  <si>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</si>
  <si>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</si>
  <si>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</si>
  <si>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</si>
  <si>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</si>
  <si>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</si>
  <si>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</si>
  <si>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</si>
  <si>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</si>
  <si>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</si>
  <si>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</si>
  <si>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</si>
  <si>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</si>
  <si>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</si>
  <si>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</si>
  <si>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</si>
  <si>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</si>
  <si>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</si>
  <si>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</si>
  <si>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</si>
  <si>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</si>
  <si>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</si>
  <si>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</si>
  <si>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</si>
  <si>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</si>
  <si>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</si>
  <si>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</si>
  <si>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</si>
  <si>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</si>
  <si>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</si>
  <si>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</si>
  <si>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</si>
  <si>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</si>
  <si>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</si>
  <si>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</si>
  <si>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</si>
  <si>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</si>
  <si>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</si>
  <si>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</si>
  <si>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</si>
  <si>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</si>
  <si>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</si>
  <si>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</si>
  <si>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</si>
  <si>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</si>
  <si>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</si>
  <si>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</si>
  <si>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</si>
  <si>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</si>
  <si>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</si>
  <si>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</si>
  <si>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</si>
  <si>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</si>
  <si>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</si>
  <si>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</si>
  <si>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</si>
  <si>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</si>
  <si>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</si>
  <si>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</si>
  <si>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</si>
  <si>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</si>
  <si>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</si>
  <si>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</si>
  <si>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</si>
  <si>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</si>
  <si>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</si>
  <si>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</si>
  <si>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</si>
  <si>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</si>
  <si>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</si>
  <si>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</si>
  <si>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</si>
  <si>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</si>
  <si>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</si>
  <si>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</si>
  <si>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</si>
  <si>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</si>
  <si>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</si>
  <si>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</si>
  <si>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</si>
  <si>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</si>
  <si>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</si>
  <si>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</si>
  <si>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</si>
  <si>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</si>
  <si>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</si>
  <si>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</si>
  <si>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</si>
  <si>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</si>
  <si>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</si>
  <si>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</si>
  <si>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</si>
  <si>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</si>
  <si>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</si>
  <si>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</si>
  <si>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</si>
  <si>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</si>
  <si>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</si>
  <si>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</si>
  <si>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</si>
  <si>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</si>
  <si>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</si>
  <si>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</si>
  <si>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</si>
  <si>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</si>
  <si>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</si>
  <si>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</si>
  <si>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</si>
  <si>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</si>
  <si>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</si>
  <si>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</si>
  <si>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</si>
  <si>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</si>
  <si>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</si>
  <si>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</si>
  <si>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</si>
  <si>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</si>
  <si>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</si>
  <si>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</si>
  <si>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</si>
  <si>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</si>
  <si>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</si>
  <si>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</si>
  <si>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</si>
  <si>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</si>
  <si>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</si>
  <si>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</si>
  <si>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</si>
  <si>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</si>
  <si>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</si>
  <si>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</si>
  <si>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</si>
  <si>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</si>
  <si>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</si>
  <si>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</si>
  <si>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</si>
  <si>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</si>
  <si>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</si>
  <si>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</si>
  <si>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</si>
  <si>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</si>
  <si>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</si>
  <si>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</si>
  <si>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</si>
  <si>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</si>
  <si>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</si>
  <si>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</si>
  <si>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</si>
  <si>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</si>
  <si>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</si>
  <si>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</si>
  <si>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</si>
  <si>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</si>
  <si>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</si>
  <si>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</si>
  <si>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</si>
  <si>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</si>
  <si>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</si>
  <si>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</si>
  <si>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</si>
  <si>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</si>
  <si>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</si>
  <si>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</si>
  <si>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</si>
  <si>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</si>
  <si>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</si>
  <si>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</si>
  <si>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</si>
  <si>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</si>
  <si>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</si>
  <si>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</si>
  <si>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</si>
  <si>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</si>
  <si>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</si>
  <si>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</si>
  <si>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</si>
  <si>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</si>
  <si>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</si>
  <si>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</si>
  <si>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</si>
  <si>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</si>
  <si>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</si>
  <si>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</si>
  <si>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</si>
  <si>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</si>
  <si>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</si>
  <si>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</si>
  <si>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</si>
  <si>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</si>
  <si>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</si>
  <si>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</si>
  <si>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</si>
  <si>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</si>
  <si>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</si>
  <si>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</si>
  <si>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</si>
  <si>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</si>
  <si>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</si>
  <si>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</si>
  <si>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</si>
  <si>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</si>
  <si>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</si>
  <si>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</si>
  <si>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</si>
  <si>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</si>
  <si>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</si>
  <si>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</si>
  <si>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</si>
  <si>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</si>
  <si>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</si>
  <si>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</si>
  <si>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</si>
  <si>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</si>
  <si>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</si>
  <si>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</si>
  <si>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</si>
  <si>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</si>
  <si>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</si>
  <si>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</si>
  <si>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</si>
  <si>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</si>
  <si>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</si>
  <si>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</si>
  <si>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</si>
  <si>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</si>
  <si>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</si>
  <si>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</si>
  <si>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</si>
  <si>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</si>
  <si>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</si>
  <si>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</si>
  <si>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</si>
  <si>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</si>
  <si>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</si>
  <si>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</si>
  <si>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</si>
  <si>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</si>
  <si>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</si>
  <si>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</si>
  <si>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</si>
  <si>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</si>
  <si>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</si>
  <si>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</si>
  <si>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</si>
  <si>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</si>
  <si>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</si>
  <si>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</si>
  <si>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</si>
  <si>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</si>
  <si>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</si>
  <si>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</si>
  <si>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</si>
  <si>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</si>
  <si>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</si>
  <si>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</si>
  <si>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</si>
  <si>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</si>
  <si>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</si>
  <si>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</si>
  <si>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</si>
  <si>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</si>
  <si>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</si>
  <si>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</si>
  <si>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</si>
  <si>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</si>
  <si>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</si>
  <si>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</si>
  <si>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</si>
  <si>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</si>
  <si>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</si>
  <si>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</si>
  <si>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</si>
  <si>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</si>
  <si>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</si>
  <si>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</si>
  <si>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</si>
  <si>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</si>
  <si>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</si>
  <si>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</si>
  <si>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</si>
  <si>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</si>
  <si>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</si>
  <si>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</si>
  <si>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</si>
  <si>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</si>
  <si>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</si>
  <si>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</si>
  <si>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</si>
  <si>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</si>
  <si>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</si>
  <si>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</si>
  <si>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</si>
  <si>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</si>
  <si>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</si>
  <si>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</si>
  <si>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</si>
  <si>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</si>
  <si>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</si>
  <si>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</si>
  <si>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</si>
  <si>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</si>
  <si>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</si>
  <si>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</si>
  <si>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</si>
  <si>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</si>
  <si>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</si>
  <si>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</si>
  <si>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</si>
  <si>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</si>
  <si>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</si>
  <si>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</si>
  <si>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</si>
  <si>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</si>
  <si>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</si>
  <si>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</si>
  <si>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</si>
  <si>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</si>
  <si>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</si>
  <si>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</si>
  <si>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</si>
  <si>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</si>
  <si>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</si>
  <si>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</si>
  <si>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</si>
  <si>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</si>
  <si>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</si>
  <si>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</si>
  <si>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</si>
  <si>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</si>
  <si>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</si>
  <si>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</si>
  <si>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</si>
  <si>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</si>
  <si>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</si>
  <si>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</si>
  <si>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</si>
  <si>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</si>
  <si>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</si>
  <si>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</si>
  <si>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</si>
  <si>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</si>
  <si>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</si>
  <si>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</si>
  <si>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</si>
  <si>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</si>
  <si>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</si>
  <si>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</si>
  <si>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</si>
  <si>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</si>
  <si>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</si>
  <si>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</si>
  <si>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</si>
  <si>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</si>
  <si>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</si>
  <si>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</si>
  <si>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</si>
  <si>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</si>
  <si>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</si>
  <si>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</si>
  <si>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</si>
  <si>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</si>
  <si>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</si>
  <si>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</si>
  <si>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</si>
  <si>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</si>
  <si>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</si>
  <si>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</si>
  <si>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</si>
  <si>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</si>
  <si>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</si>
  <si>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</si>
  <si>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</si>
  <si>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</si>
  <si>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</si>
  <si>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</si>
  <si>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</si>
  <si>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</si>
  <si>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</si>
  <si>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</si>
  <si>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</si>
  <si>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</si>
  <si>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</si>
  <si>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</si>
  <si>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</si>
  <si>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</si>
  <si>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</si>
  <si>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</si>
  <si>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</si>
  <si>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</si>
  <si>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</si>
  <si>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</si>
  <si>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</si>
  <si>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</si>
  <si>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</si>
  <si>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</si>
  <si>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</si>
  <si>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</si>
  <si>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</si>
  <si>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</si>
  <si>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</si>
  <si>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</si>
  <si>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</si>
  <si>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</si>
  <si>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</si>
  <si>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</si>
  <si>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</si>
  <si>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</si>
  <si>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</si>
  <si>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</si>
  <si>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</si>
  <si>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</si>
  <si>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</si>
  <si>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</si>
  <si>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</si>
  <si>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</si>
  <si>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</si>
  <si>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</si>
  <si>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</si>
  <si>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</si>
  <si>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</si>
  <si>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</si>
  <si>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</si>
  <si>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</si>
  <si>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</si>
  <si>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</si>
  <si>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</si>
  <si>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</si>
  <si>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</si>
  <si>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</si>
  <si>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</si>
  <si>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</si>
  <si>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</si>
  <si>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</si>
  <si>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</si>
  <si>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</si>
  <si>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</si>
  <si>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</si>
  <si>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</si>
  <si>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</si>
  <si>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</si>
  <si>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</si>
  <si>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</si>
  <si>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</si>
  <si>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</si>
  <si>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</si>
  <si>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</si>
  <si>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</si>
  <si>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</si>
  <si>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</si>
  <si>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</si>
  <si>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</si>
  <si>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</si>
  <si>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</si>
  <si>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</si>
  <si>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</si>
  <si>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</si>
  <si>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</si>
  <si>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</si>
  <si>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</si>
  <si>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</si>
  <si>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</si>
  <si>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</si>
  <si>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</si>
  <si>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</si>
  <si>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</si>
  <si>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</si>
  <si>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</si>
  <si>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</si>
  <si>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</si>
  <si>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</si>
  <si>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</si>
  <si>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</si>
  <si>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</si>
  <si>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</si>
  <si>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</si>
  <si>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</si>
  <si>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</si>
  <si>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</si>
  <si>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</si>
  <si>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</si>
  <si>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</si>
  <si>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</si>
  <si>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</si>
  <si>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</si>
  <si>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</si>
  <si>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</si>
  <si>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</si>
  <si>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</si>
  <si>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</si>
  <si>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</si>
  <si>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</si>
  <si>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</si>
  <si>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</si>
  <si>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</si>
  <si>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</si>
  <si>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</si>
  <si>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</si>
  <si>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</si>
  <si>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</si>
  <si>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</si>
  <si>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</si>
  <si>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</si>
  <si>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</si>
  <si>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</si>
  <si>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</si>
  <si>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</si>
  <si>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</si>
  <si>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</si>
  <si>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</si>
  <si>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</si>
  <si>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</si>
  <si>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</si>
  <si>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</si>
  <si>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</si>
  <si>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</si>
  <si>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</si>
  <si>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</si>
  <si>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</si>
  <si>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</si>
  <si>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</si>
  <si>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</si>
  <si>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</si>
  <si>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</si>
  <si>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</si>
  <si>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</si>
  <si>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</si>
  <si>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</si>
  <si>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</si>
  <si>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</si>
  <si>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</si>
  <si>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</si>
  <si>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</si>
  <si>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</si>
  <si>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</si>
  <si>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</si>
  <si>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</si>
  <si>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</si>
  <si>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</si>
  <si>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</si>
  <si>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</si>
  <si>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</si>
  <si>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</si>
  <si>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</si>
  <si>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</si>
  <si>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</si>
  <si>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</si>
  <si>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</si>
  <si>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</si>
  <si>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</si>
  <si>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</si>
  <si>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</si>
  <si>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</si>
  <si>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</si>
  <si>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</si>
  <si>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</si>
  <si>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</si>
  <si>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</si>
  <si>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</si>
  <si>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</si>
  <si>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</si>
  <si>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</si>
  <si>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</si>
  <si>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</si>
  <si>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</si>
  <si>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</si>
  <si>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</si>
  <si>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</si>
  <si>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</si>
  <si>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</si>
  <si>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</si>
  <si>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</si>
  <si>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</si>
  <si>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</si>
  <si>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</si>
  <si>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</si>
  <si>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</si>
  <si>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</si>
  <si>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</si>
  <si>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</si>
  <si>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</si>
  <si>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</si>
  <si>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</si>
  <si>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</si>
  <si>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</si>
  <si>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</si>
  <si>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</si>
  <si>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</si>
  <si>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</si>
  <si>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</si>
  <si>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</si>
  <si>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</si>
  <si>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</si>
  <si>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</si>
  <si>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</si>
  <si>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</si>
  <si>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</si>
  <si>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</si>
  <si>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</si>
  <si>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</si>
  <si>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</si>
  <si>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</si>
  <si>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</si>
  <si>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</si>
  <si>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</si>
  <si>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</si>
  <si>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</si>
  <si>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</si>
  <si>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</si>
  <si>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</si>
  <si>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</si>
  <si>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</si>
  <si>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</si>
  <si>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</si>
  <si>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</si>
  <si>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</si>
  <si>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</si>
  <si>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</si>
  <si>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</si>
  <si>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</si>
  <si>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</si>
  <si>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</si>
  <si>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</si>
  <si>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</si>
  <si>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</si>
  <si>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</si>
  <si>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</si>
  <si>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</si>
  <si>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</si>
  <si>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</si>
  <si>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</si>
  <si>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</si>
  <si>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</si>
  <si>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</si>
  <si>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</si>
  <si>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</si>
  <si>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</si>
  <si>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</si>
  <si>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</si>
  <si>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</si>
  <si>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</si>
  <si>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</si>
  <si>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</si>
  <si>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</si>
  <si>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</si>
  <si>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</si>
  <si>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</si>
  <si>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</si>
  <si>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</si>
  <si>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</si>
  <si>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</si>
  <si>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</si>
  <si>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</si>
  <si>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</si>
  <si>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</si>
  <si>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</si>
  <si>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</si>
  <si>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</si>
  <si>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</si>
  <si>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</si>
  <si>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</si>
  <si>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</si>
  <si>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</si>
  <si>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</si>
  <si>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</si>
  <si>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</si>
  <si>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</si>
  <si>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</si>
  <si>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</si>
  <si>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</si>
  <si>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</si>
  <si>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</si>
  <si>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</si>
  <si>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</si>
  <si>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</si>
  <si>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</si>
  <si>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</si>
  <si>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</si>
  <si>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</si>
  <si>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</si>
  <si>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</si>
  <si>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</si>
  <si>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</si>
  <si>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</si>
  <si>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</si>
  <si>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</si>
  <si>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</si>
  <si>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</si>
  <si>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</si>
  <si>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</si>
  <si>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</si>
  <si>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</si>
  <si>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</si>
  <si>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</si>
  <si>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</si>
  <si>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</si>
  <si>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</si>
  <si>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</si>
  <si>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</si>
  <si>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</si>
  <si>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</si>
  <si>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</si>
  <si>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</si>
  <si>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</si>
  <si>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</si>
  <si>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</si>
  <si>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</si>
  <si>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</si>
  <si>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</si>
  <si>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</si>
  <si>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</si>
  <si>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</si>
  <si>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</si>
  <si>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</si>
  <si>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</si>
  <si>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</si>
  <si>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</si>
  <si>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</si>
  <si>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</si>
  <si>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</si>
  <si>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</si>
  <si>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</si>
  <si>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</si>
  <si>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</si>
  <si>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</si>
  <si>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</si>
  <si>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</si>
  <si>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</si>
  <si>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</si>
  <si>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</si>
  <si>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</si>
  <si>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</si>
  <si>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</si>
  <si>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</si>
  <si>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</si>
  <si>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</si>
  <si>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</si>
  <si>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</si>
  <si>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</si>
  <si>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</si>
  <si>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</si>
  <si>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</si>
  <si>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</si>
  <si>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</si>
  <si>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</si>
  <si>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</si>
  <si>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</si>
  <si>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</si>
  <si>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</si>
  <si>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</si>
  <si>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</si>
  <si>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</si>
  <si>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</si>
  <si>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</si>
  <si>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</si>
  <si>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</si>
  <si>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</si>
  <si>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</si>
  <si>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</si>
  <si>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</si>
  <si>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</si>
  <si>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</si>
  <si>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</si>
  <si>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</si>
  <si>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</si>
  <si>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</si>
  <si>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</si>
  <si>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</si>
  <si>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</si>
  <si>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</si>
  <si>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</si>
  <si>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</si>
  <si>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</si>
  <si>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</si>
  <si>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</si>
  <si>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</si>
  <si>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</si>
  <si>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</si>
  <si>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</si>
  <si>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</si>
  <si>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</si>
  <si>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</si>
  <si>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</si>
  <si>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</si>
  <si>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</si>
  <si>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</si>
  <si>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</si>
  <si>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</si>
  <si>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</si>
  <si>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</si>
  <si>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</si>
  <si>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</si>
  <si>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</si>
  <si>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</si>
  <si>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</si>
  <si>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</si>
  <si>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</si>
  <si>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</si>
  <si>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</si>
  <si>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</si>
  <si>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</si>
  <si>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</si>
  <si>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</si>
  <si>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</si>
  <si>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</si>
  <si>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</si>
  <si>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</si>
  <si>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</si>
  <si>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</si>
  <si>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</si>
  <si>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</si>
  <si>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</si>
  <si>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</si>
  <si>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</si>
  <si>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</si>
  <si>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</si>
  <si>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</si>
  <si>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</si>
  <si>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</si>
  <si>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</si>
  <si>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</si>
  <si>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</si>
  <si>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</si>
  <si>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</si>
  <si>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</si>
  <si>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</si>
  <si>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</si>
  <si>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</si>
  <si>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</si>
  <si>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</si>
  <si>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</si>
  <si>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</si>
  <si>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</si>
  <si>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</si>
  <si>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</si>
  <si>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</si>
  <si>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</si>
  <si>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</si>
  <si>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</si>
  <si>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</si>
  <si>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</si>
  <si>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</si>
  <si>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</si>
  <si>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</si>
  <si>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</si>
  <si>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</si>
  <si>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</si>
  <si>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</si>
  <si>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</si>
  <si>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</si>
  <si>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</si>
  <si>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</si>
  <si>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</si>
  <si>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</si>
  <si>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</si>
  <si>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</si>
  <si>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</si>
  <si>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</si>
  <si>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</si>
  <si>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</si>
  <si>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</si>
  <si>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</si>
  <si>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</si>
  <si>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</si>
  <si>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</si>
  <si>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</si>
  <si>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</si>
  <si>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</si>
  <si>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</si>
  <si>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</si>
  <si>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</si>
  <si>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</si>
  <si>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</si>
  <si>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</si>
  <si>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</si>
  <si>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</si>
  <si>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</si>
  <si>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</si>
  <si>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</si>
  <si>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</si>
  <si>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</si>
  <si>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</si>
  <si>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</si>
  <si>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</si>
  <si>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</si>
  <si>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</si>
  <si>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</si>
  <si>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</si>
  <si>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</si>
  <si>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</si>
  <si>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</si>
  <si>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</si>
  <si>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</si>
  <si>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</si>
  <si>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</si>
  <si>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</si>
  <si>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</si>
  <si>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</si>
  <si>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</si>
  <si>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</si>
  <si>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</si>
  <si>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</si>
  <si>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</si>
  <si>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</si>
  <si>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</si>
  <si>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</si>
  <si>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</si>
  <si>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</si>
  <si>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</si>
  <si>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</si>
  <si>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</si>
  <si>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</si>
  <si>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</si>
  <si>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</si>
  <si>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</si>
  <si>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</si>
  <si>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</si>
  <si>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</si>
  <si>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</si>
  <si>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</si>
  <si>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</si>
  <si>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</si>
  <si>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</si>
  <si>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</si>
  <si>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</si>
  <si>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</si>
  <si>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</si>
  <si>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</si>
  <si>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</si>
  <si>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</si>
  <si>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</si>
  <si>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</si>
  <si>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</si>
  <si>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</si>
  <si>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</si>
  <si>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</si>
  <si>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</si>
  <si>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</si>
  <si>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</si>
  <si>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</si>
  <si>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</si>
  <si>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</si>
  <si>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</si>
  <si>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</si>
  <si>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</si>
  <si>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</si>
  <si>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</si>
  <si>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</si>
  <si>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</si>
  <si>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</si>
  <si>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</si>
  <si>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</si>
  <si>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</si>
  <si>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</si>
  <si>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</si>
  <si>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</si>
  <si>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</si>
  <si>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</si>
  <si>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</si>
  <si>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</si>
  <si>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</si>
  <si>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</si>
  <si>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</si>
  <si>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</si>
  <si>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</si>
  <si>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</si>
  <si>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</si>
  <si>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</si>
  <si>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</si>
  <si>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</si>
  <si>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</si>
  <si>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</si>
  <si>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</si>
  <si>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</si>
  <si>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</si>
  <si>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</si>
  <si>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</si>
  <si>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</si>
  <si>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</si>
  <si>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</si>
  <si>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</si>
  <si>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</si>
  <si>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</si>
  <si>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</si>
  <si>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</si>
  <si>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</si>
  <si>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</si>
  <si>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</si>
  <si>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</si>
  <si>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</si>
  <si>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</si>
  <si>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</si>
  <si>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</si>
  <si>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</si>
  <si>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</si>
  <si>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</si>
  <si>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</si>
  <si>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</si>
  <si>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</si>
  <si>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</si>
  <si>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</si>
  <si>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</si>
  <si>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</si>
  <si>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</si>
  <si>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</si>
  <si>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</si>
  <si>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</si>
  <si>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</si>
  <si>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</si>
  <si>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</si>
  <si>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</si>
  <si>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</si>
  <si>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</si>
  <si>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</si>
  <si>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</si>
  <si>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</si>
  <si>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</si>
  <si>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</si>
  <si>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</si>
  <si>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</si>
  <si>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</si>
  <si>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</si>
  <si>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</si>
  <si>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</si>
  <si>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</si>
  <si>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</si>
  <si>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</si>
  <si>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</si>
  <si>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</si>
  <si>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</si>
  <si>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</si>
  <si>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</si>
  <si>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</si>
  <si>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</si>
  <si>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</si>
  <si>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</si>
  <si>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</si>
  <si>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</si>
  <si>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</si>
  <si>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</si>
  <si>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</si>
  <si>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</si>
  <si>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</si>
  <si>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</si>
  <si>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</si>
  <si>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</si>
  <si>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</si>
  <si>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</si>
  <si>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</si>
  <si>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</si>
  <si>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</si>
  <si>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</si>
  <si>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</si>
  <si>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</si>
  <si>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</si>
  <si>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</si>
  <si>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</si>
  <si>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</si>
  <si>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</si>
  <si>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</si>
  <si>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</si>
  <si>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</si>
  <si>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</si>
  <si>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</si>
  <si>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</si>
  <si>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</si>
  <si>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</si>
  <si>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</si>
  <si>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</si>
  <si>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</si>
  <si>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</si>
  <si>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</si>
  <si>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</si>
  <si>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</si>
  <si>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</si>
  <si>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</si>
  <si>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</si>
  <si>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</si>
  <si>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</si>
  <si>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</si>
  <si>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</si>
  <si>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</si>
  <si>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</si>
  <si>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</si>
  <si>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</si>
  <si>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</si>
  <si>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</si>
  <si>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</si>
  <si>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</si>
  <si>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</si>
  <si>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</si>
  <si>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</si>
  <si>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</si>
  <si>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</si>
  <si>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</si>
  <si>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</si>
  <si>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</si>
  <si>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</si>
  <si>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</si>
  <si>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</si>
  <si>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</si>
  <si>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</si>
  <si>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</si>
  <si>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</si>
  <si>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</si>
  <si>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</si>
  <si>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</si>
  <si>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</si>
  <si>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</si>
  <si>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</si>
  <si>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</si>
  <si>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</si>
  <si>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</si>
  <si>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</si>
  <si>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</si>
  <si>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</si>
  <si>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</si>
  <si>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</si>
  <si>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</si>
  <si>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</si>
  <si>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</si>
  <si>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</si>
  <si>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</si>
  <si>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</si>
  <si>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</si>
  <si>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</si>
  <si>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</si>
  <si>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</si>
  <si>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</si>
  <si>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</si>
  <si>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</si>
  <si>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</si>
  <si>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</si>
  <si>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</si>
  <si>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</si>
  <si>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</si>
  <si>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</si>
  <si>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</si>
  <si>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</si>
  <si>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</si>
  <si>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</si>
  <si>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</si>
  <si>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</si>
  <si>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</si>
  <si>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</si>
  <si>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</si>
  <si>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</si>
  <si>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</si>
  <si>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</si>
  <si>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</si>
  <si>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</si>
  <si>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</si>
  <si>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</si>
  <si>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</si>
  <si>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</si>
  <si>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</si>
  <si>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</si>
  <si>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</si>
  <si>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</si>
  <si>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</si>
  <si>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</si>
  <si>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</si>
  <si>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</si>
  <si>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</si>
  <si>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</si>
  <si>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</si>
  <si>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</si>
  <si>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</si>
  <si>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</si>
  <si>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</si>
  <si>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</si>
  <si>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</si>
  <si>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</si>
  <si>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</si>
  <si>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</si>
  <si>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</si>
  <si>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</si>
  <si>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</si>
  <si>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</si>
  <si>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</si>
  <si>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</si>
  <si>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</si>
  <si>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</si>
  <si>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</si>
  <si>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</si>
  <si>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</si>
  <si>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</si>
  <si>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</si>
  <si>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</si>
  <si>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</si>
  <si>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</si>
  <si>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</si>
  <si>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</si>
  <si>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</si>
  <si>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</si>
  <si>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</si>
  <si>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</si>
  <si>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</si>
  <si>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</si>
  <si>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</si>
  <si>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</si>
  <si>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</si>
  <si>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</si>
  <si>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</si>
  <si>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</si>
  <si>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</si>
  <si>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</si>
  <si>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</si>
  <si>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</si>
  <si>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</si>
  <si>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</si>
  <si>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</si>
  <si>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</si>
  <si>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</si>
  <si>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</si>
  <si>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</si>
  <si>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</si>
  <si>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</si>
  <si>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</si>
  <si>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</si>
  <si>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</si>
  <si>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</si>
  <si>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</si>
  <si>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</si>
  <si>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</si>
  <si>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</si>
  <si>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</si>
  <si>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</si>
  <si>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</si>
  <si>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</si>
  <si>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</si>
  <si>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</si>
  <si>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</si>
  <si>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</si>
  <si>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</si>
  <si>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</si>
  <si>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</si>
  <si>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</si>
  <si>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</si>
  <si>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</si>
  <si>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</si>
  <si>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</si>
  <si>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</si>
  <si>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</si>
  <si>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</si>
  <si>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</si>
  <si>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</si>
  <si>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</si>
  <si>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</si>
  <si>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</si>
  <si>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</si>
  <si>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</si>
  <si>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</si>
  <si>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</si>
  <si>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</si>
  <si>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</si>
  <si>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</si>
  <si>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</si>
  <si>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</si>
  <si>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</si>
  <si>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</si>
  <si>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</si>
  <si>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</si>
  <si>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</si>
  <si>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</si>
  <si>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</si>
  <si>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</si>
  <si>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</si>
  <si>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</si>
  <si>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</si>
  <si>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</si>
  <si>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</si>
  <si>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</si>
  <si>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</si>
  <si>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</si>
  <si>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</si>
  <si>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</si>
  <si>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</si>
  <si>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</si>
  <si>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</si>
  <si>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</si>
  <si>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</si>
  <si>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</si>
  <si>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</si>
  <si>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</si>
  <si>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</si>
  <si>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</si>
  <si>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</si>
  <si>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</si>
  <si>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</si>
  <si>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</si>
  <si>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</si>
  <si>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</si>
  <si>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</si>
  <si>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</si>
  <si>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</si>
  <si>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</si>
  <si>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</si>
  <si>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</si>
  <si>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</si>
  <si>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</si>
  <si>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</si>
  <si>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</si>
  <si>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</si>
  <si>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</si>
  <si>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</si>
  <si>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</si>
  <si>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</si>
  <si>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</si>
  <si>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</si>
  <si>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</si>
  <si>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</si>
  <si>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</si>
  <si>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</si>
  <si>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</si>
  <si>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</si>
  <si>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</si>
  <si>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</si>
  <si>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</si>
  <si>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</si>
  <si>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</si>
  <si>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</si>
  <si>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</si>
  <si>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</si>
  <si>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</si>
  <si>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</si>
  <si>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</si>
  <si>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</si>
  <si>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</si>
  <si>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</si>
  <si>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</si>
  <si>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</si>
  <si>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</si>
  <si>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</si>
  <si>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</si>
  <si>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</si>
  <si>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</si>
  <si>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</si>
  <si>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</si>
  <si>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</si>
  <si>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</si>
  <si>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</si>
  <si>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</si>
  <si>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</si>
  <si>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</si>
  <si>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</si>
  <si>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</si>
  <si>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</si>
  <si>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</si>
  <si>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</si>
  <si>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</si>
  <si>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</si>
  <si>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</si>
  <si>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</si>
  <si>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</si>
  <si>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</si>
  <si>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</si>
  <si>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</si>
  <si>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</si>
  <si>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</si>
  <si>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</si>
  <si>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</si>
  <si>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</si>
  <si>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</si>
  <si>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</si>
  <si>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</si>
  <si>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</si>
  <si>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</si>
  <si>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</si>
  <si>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</si>
  <si>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</si>
  <si>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</si>
  <si>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</si>
  <si>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</si>
  <si>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</si>
  <si>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</si>
  <si>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</si>
  <si>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</si>
  <si>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</si>
  <si>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</si>
  <si>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</si>
  <si>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</si>
  <si>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</si>
  <si>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</si>
  <si>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</si>
  <si>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</si>
  <si>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</si>
  <si>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</si>
  <si>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</si>
  <si>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</si>
  <si>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</si>
  <si>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</si>
  <si>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</si>
  <si>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</si>
  <si>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</si>
  <si>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</si>
  <si>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</si>
  <si>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</si>
  <si>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</si>
  <si>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</si>
  <si>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</si>
  <si>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</si>
  <si>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</si>
  <si>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</si>
  <si>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</si>
  <si>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</si>
  <si>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</si>
  <si>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</si>
  <si>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</si>
  <si>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</si>
  <si>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</si>
  <si>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</si>
  <si>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</si>
  <si>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</si>
  <si>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</si>
  <si>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</si>
  <si>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</si>
  <si>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</si>
  <si>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</si>
  <si>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</si>
  <si>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</si>
  <si>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</si>
  <si>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</si>
  <si>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</si>
  <si>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</si>
  <si>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</si>
  <si>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</si>
  <si>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</si>
  <si>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</si>
  <si>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</si>
  <si>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</si>
  <si>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</si>
  <si>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</si>
  <si>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</si>
  <si>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</si>
  <si>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</si>
  <si>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</si>
  <si>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</si>
  <si>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</si>
  <si>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</si>
  <si>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</si>
  <si>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</si>
  <si>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</si>
  <si>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</si>
  <si>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</si>
  <si>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</si>
  <si>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</si>
  <si>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</si>
  <si>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</si>
  <si>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</si>
  <si>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</si>
  <si>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</si>
  <si>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</si>
  <si>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</si>
  <si>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</si>
  <si>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</si>
  <si>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</si>
  <si>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</si>
  <si>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</si>
  <si>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</si>
  <si>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</si>
  <si>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</si>
  <si>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</si>
  <si>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</si>
  <si>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</si>
  <si>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</si>
  <si>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</si>
  <si>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</si>
  <si>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</si>
  <si>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</si>
  <si>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</si>
  <si>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</si>
  <si>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</si>
  <si>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</si>
  <si>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</si>
  <si>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</si>
  <si>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</si>
  <si>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</si>
  <si>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</si>
  <si>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</si>
  <si>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</si>
  <si>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</si>
  <si>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</si>
  <si>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</si>
  <si>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</si>
  <si>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</si>
  <si>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</si>
  <si>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</si>
  <si>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</si>
  <si>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</si>
  <si>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</si>
  <si>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</si>
  <si>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</si>
  <si>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</si>
  <si>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</si>
  <si>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</si>
  <si>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</si>
  <si>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</si>
  <si>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</si>
  <si>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</si>
  <si>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</si>
  <si>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</si>
  <si>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</si>
  <si>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</si>
  <si>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</si>
  <si>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</si>
  <si>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</si>
  <si>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</si>
  <si>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</si>
  <si>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</si>
  <si>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</si>
  <si>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</si>
  <si>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</si>
  <si>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</si>
  <si>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</si>
  <si>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</si>
  <si>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</si>
  <si>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</si>
  <si>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</si>
  <si>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</si>
  <si>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</si>
  <si>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</si>
  <si>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</si>
  <si>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</si>
  <si>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</si>
  <si>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</si>
  <si>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</si>
  <si>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</si>
  <si>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</si>
  <si>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</si>
  <si>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</si>
  <si>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</si>
  <si>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</si>
  <si>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</si>
  <si>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</si>
  <si>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</si>
  <si>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</si>
  <si>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</si>
  <si>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</si>
  <si>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</si>
  <si>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</si>
  <si>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</si>
  <si>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</si>
  <si>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</si>
  <si>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</si>
  <si>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</si>
  <si>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</si>
  <si>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</si>
  <si>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</si>
  <si>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</si>
  <si>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</si>
  <si>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</si>
  <si>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</si>
  <si>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</si>
  <si>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</si>
  <si>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</si>
  <si>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</si>
  <si>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</si>
  <si>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</si>
  <si>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</si>
  <si>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</si>
  <si>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</si>
  <si>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</si>
  <si>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</si>
  <si>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</si>
  <si>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</si>
  <si>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</si>
  <si>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</si>
  <si>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</si>
  <si>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</si>
  <si>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</si>
  <si>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</si>
  <si>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</si>
  <si>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</si>
  <si>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</si>
  <si>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</si>
  <si>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</si>
  <si>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</si>
  <si>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</si>
  <si>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</si>
  <si>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</si>
  <si>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</si>
  <si>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</si>
  <si>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</si>
  <si>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</si>
  <si>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</si>
  <si>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</si>
  <si>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</si>
  <si>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</si>
  <si>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</si>
  <si>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</si>
  <si>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</si>
  <si>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</si>
  <si>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</si>
  <si>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</si>
  <si>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</si>
  <si>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</si>
  <si>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</si>
  <si>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</si>
  <si>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</si>
  <si>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</si>
  <si>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</si>
  <si>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</si>
  <si>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</si>
  <si>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</si>
  <si>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</si>
  <si>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</si>
  <si>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</si>
  <si>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</si>
  <si>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</si>
  <si>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</si>
  <si>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</si>
  <si>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</si>
  <si>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</si>
  <si>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</si>
  <si>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</si>
  <si>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</si>
  <si>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</si>
  <si>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</si>
  <si>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</si>
  <si>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</si>
  <si>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</si>
  <si>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</si>
  <si>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</si>
  <si>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</si>
  <si>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</si>
  <si>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</si>
  <si>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</si>
  <si>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</si>
  <si>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</si>
  <si>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</si>
  <si>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</si>
  <si>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</si>
  <si>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</si>
  <si>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</si>
  <si>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</si>
  <si>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</si>
  <si>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</si>
  <si>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</si>
  <si>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</si>
  <si>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</si>
  <si>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</si>
  <si>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</si>
  <si>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</si>
  <si>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</si>
  <si>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</si>
  <si>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</si>
  <si>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</si>
  <si>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</si>
  <si>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</si>
  <si>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</si>
  <si>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</si>
  <si>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</si>
  <si>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</si>
  <si>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</si>
  <si>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</si>
  <si>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</si>
  <si>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</si>
  <si>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</si>
  <si>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</si>
  <si>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</si>
  <si>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</si>
  <si>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</si>
  <si>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</si>
  <si>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</si>
  <si>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</si>
  <si>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</si>
  <si>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</si>
  <si>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</si>
  <si>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</si>
  <si>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</si>
  <si>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</si>
  <si>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</si>
  <si>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</si>
  <si>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</si>
  <si>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</si>
  <si>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</si>
  <si>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</si>
  <si>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</si>
  <si>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</si>
  <si>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</si>
  <si>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</si>
  <si>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</si>
  <si>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</si>
  <si>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</si>
  <si>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</si>
  <si>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</si>
  <si>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</si>
  <si>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</si>
  <si>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</si>
  <si>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</si>
  <si>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</si>
  <si>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</si>
  <si>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</si>
  <si>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</si>
  <si>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</si>
  <si>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</si>
  <si>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</si>
  <si>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</si>
  <si>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</si>
  <si>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</si>
  <si>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</si>
  <si>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</si>
  <si>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</si>
  <si>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</si>
  <si>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</si>
  <si>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</si>
  <si>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</si>
  <si>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</si>
  <si>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</si>
  <si>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</si>
  <si>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</si>
  <si>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</si>
  <si>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</si>
  <si>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</si>
  <si>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</si>
  <si>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</si>
  <si>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</si>
  <si>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</si>
  <si>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</si>
  <si>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</si>
  <si>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</si>
  <si>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</si>
  <si>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</si>
  <si>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</si>
  <si>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</si>
  <si>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</si>
  <si>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</si>
  <si>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</si>
  <si>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</si>
  <si>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</si>
  <si>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</si>
  <si>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</si>
  <si>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</si>
  <si>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</si>
  <si>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</si>
  <si>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</si>
  <si>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</si>
  <si>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</si>
  <si>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</si>
  <si>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</si>
  <si>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</si>
  <si>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</si>
  <si>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</si>
  <si>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</si>
  <si>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</si>
  <si>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</si>
  <si>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</si>
  <si>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</si>
  <si>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</si>
  <si>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</si>
  <si>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</si>
  <si>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</si>
  <si>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</si>
  <si>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</si>
  <si>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</si>
  <si>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</si>
  <si>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</si>
  <si>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</si>
  <si>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</si>
  <si>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</si>
  <si>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</si>
  <si>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</si>
  <si>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</si>
  <si>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</si>
  <si>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</si>
  <si>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</si>
  <si>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</si>
  <si>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</si>
  <si>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</si>
  <si>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</si>
  <si>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</si>
  <si>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</si>
  <si>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</si>
  <si>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</si>
  <si>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</si>
  <si>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</si>
  <si>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</si>
  <si>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</si>
  <si>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</si>
  <si>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</si>
  <si>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</si>
  <si>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</si>
  <si>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</si>
  <si>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</si>
  <si>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</si>
  <si>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</si>
  <si>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</si>
  <si>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</si>
  <si>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</si>
  <si>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</si>
  <si>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</si>
  <si>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</si>
  <si>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</si>
  <si>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</si>
  <si>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</si>
  <si>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</si>
  <si>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</si>
  <si>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</si>
  <si>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</si>
  <si>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</si>
  <si>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</si>
  <si>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</si>
  <si>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</si>
  <si>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</si>
  <si>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</si>
  <si>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</si>
  <si>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</si>
  <si>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</si>
  <si>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</si>
  <si>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</si>
  <si>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</si>
  <si>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</si>
  <si>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</si>
  <si>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</si>
  <si>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</si>
  <si>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</si>
  <si>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</si>
  <si>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</si>
  <si>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</si>
  <si>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</si>
  <si>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</si>
  <si>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</si>
  <si>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</si>
  <si>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</si>
  <si>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</si>
  <si>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</si>
  <si>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</si>
  <si>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</si>
  <si>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</si>
  <si>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</si>
  <si>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</si>
  <si>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</si>
  <si>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</si>
  <si>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</si>
  <si>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</si>
  <si>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</si>
  <si>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</si>
  <si>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</si>
  <si>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</si>
  <si>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</si>
  <si>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</si>
  <si>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</si>
  <si>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</si>
  <si>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</si>
  <si>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</si>
  <si>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</si>
  <si>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</si>
  <si>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</si>
  <si>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</si>
  <si>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</si>
  <si>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</si>
  <si>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</si>
  <si>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</si>
  <si>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</si>
  <si>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</si>
  <si>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</si>
  <si>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</si>
  <si>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</si>
  <si>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</si>
  <si>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</si>
  <si>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</si>
  <si>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</si>
  <si>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</si>
  <si>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</si>
  <si>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</si>
  <si>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</si>
  <si>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</si>
  <si>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</si>
  <si>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</si>
  <si>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</si>
  <si>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</si>
  <si>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</si>
  <si>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</si>
  <si>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</si>
  <si>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</si>
  <si>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</si>
  <si>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</si>
  <si>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</si>
  <si>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</si>
  <si>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</si>
  <si>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</si>
  <si>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</si>
  <si>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</si>
  <si>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</si>
  <si>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</si>
  <si>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</si>
  <si>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</si>
  <si>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</si>
  <si>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</si>
  <si>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</si>
  <si>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</si>
  <si>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</si>
  <si>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</si>
  <si>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</si>
  <si>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</si>
  <si>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</si>
  <si>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</si>
  <si>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</si>
  <si>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</si>
  <si>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</si>
  <si>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</si>
  <si>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</si>
  <si>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</si>
  <si>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</si>
  <si>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</si>
  <si>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</si>
  <si>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</si>
  <si>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</si>
  <si>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</si>
  <si>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</si>
  <si>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</si>
  <si>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</si>
  <si>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</si>
  <si>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</si>
  <si>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</si>
  <si>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</si>
  <si>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</si>
  <si>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</si>
  <si>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</si>
  <si>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</si>
  <si>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</si>
  <si>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</si>
  <si>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</si>
  <si>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</si>
  <si>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</si>
  <si>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</si>
  <si>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</si>
  <si>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</si>
  <si>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</si>
  <si>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</si>
  <si>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</si>
  <si>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</si>
  <si>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</si>
  <si>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</si>
  <si>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</si>
  <si>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</si>
  <si>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</si>
  <si>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</si>
  <si>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</si>
  <si>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</si>
  <si>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</si>
  <si>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</si>
  <si>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</si>
  <si>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</si>
  <si>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</si>
  <si>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</si>
  <si>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</si>
  <si>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</si>
  <si>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</si>
  <si>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</si>
  <si>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</si>
  <si>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</si>
  <si>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</si>
  <si>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</si>
  <si>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</si>
  <si>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</si>
  <si>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</si>
  <si>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</si>
  <si>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</si>
  <si>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</si>
  <si>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</si>
  <si>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</si>
  <si>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</si>
  <si>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</si>
  <si>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</si>
  <si>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</si>
  <si>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</si>
  <si>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</si>
  <si>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</si>
  <si>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</si>
  <si>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</si>
  <si>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</si>
  <si>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</si>
  <si>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</si>
  <si>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</si>
  <si>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</si>
  <si>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</si>
  <si>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</si>
  <si>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</si>
  <si>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</si>
  <si>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</si>
  <si>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</si>
  <si>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</si>
  <si>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</si>
  <si>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</si>
  <si>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</si>
  <si>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</si>
  <si>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</si>
  <si>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</si>
  <si>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</si>
  <si>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</si>
  <si>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</si>
  <si>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</si>
  <si>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</si>
  <si>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</si>
  <si>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</si>
  <si>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</si>
  <si>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</si>
  <si>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</si>
  <si>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</si>
  <si>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</si>
  <si>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</si>
  <si>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</si>
  <si>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</si>
  <si>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</si>
  <si>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</si>
  <si>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</si>
  <si>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</si>
  <si>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</si>
  <si>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</si>
  <si>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</si>
  <si>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</si>
  <si>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</si>
  <si>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</si>
  <si>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</si>
  <si>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</si>
  <si>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</si>
  <si>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</si>
  <si>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</si>
  <si>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</si>
  <si>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</si>
  <si>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</si>
  <si>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</si>
  <si>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</si>
  <si>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</si>
  <si>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</si>
  <si>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</si>
  <si>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</si>
  <si>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</si>
  <si>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</si>
  <si>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</si>
  <si>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</si>
  <si>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</si>
  <si>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</si>
  <si>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</si>
  <si>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</si>
  <si>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</si>
  <si>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</si>
  <si>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</si>
  <si>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</si>
  <si>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</si>
  <si>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</si>
  <si>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</si>
  <si>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</si>
  <si>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</si>
  <si>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</si>
  <si>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</si>
  <si>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</si>
  <si>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</si>
  <si>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</si>
  <si>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</si>
  <si>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</si>
  <si>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</si>
  <si>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</si>
  <si>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</si>
  <si>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</si>
  <si>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</si>
  <si>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</si>
  <si>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</si>
  <si>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</si>
  <si>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</si>
  <si>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</si>
  <si>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</si>
  <si>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</si>
  <si>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</si>
  <si>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</si>
  <si>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</si>
  <si>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</si>
  <si>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</si>
  <si>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</si>
  <si>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</si>
  <si>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</si>
  <si>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</si>
  <si>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</si>
  <si>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</si>
  <si>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</si>
  <si>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</si>
  <si>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</si>
  <si>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</si>
  <si>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</si>
  <si>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</si>
  <si>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</si>
  <si>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</si>
  <si>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</si>
  <si>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</si>
  <si>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</si>
  <si>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</si>
  <si>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</si>
  <si>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</si>
  <si>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</si>
  <si>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</si>
  <si>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</si>
  <si>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</si>
  <si>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</si>
  <si>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</si>
  <si>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</si>
  <si>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</si>
  <si>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</si>
  <si>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</si>
  <si>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</si>
  <si>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</si>
  <si>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</si>
  <si>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</si>
  <si>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</si>
  <si>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</si>
  <si>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</si>
  <si>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</si>
  <si>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</si>
  <si>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</si>
  <si>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</si>
  <si>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</si>
  <si>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</si>
  <si>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</si>
  <si>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</si>
  <si>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</si>
  <si>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</si>
  <si>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</si>
  <si>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</si>
  <si>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</si>
  <si>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</si>
  <si>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</si>
  <si>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</si>
  <si>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</si>
  <si>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</si>
  <si>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</si>
  <si>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</si>
  <si>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</si>
  <si>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</si>
  <si>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</si>
  <si>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</si>
  <si>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</si>
  <si>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</si>
  <si>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</si>
  <si>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</si>
  <si>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</si>
  <si>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</si>
  <si>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</si>
  <si>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</si>
  <si>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</si>
  <si>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</si>
  <si>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</si>
  <si>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</si>
  <si>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</si>
  <si>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</si>
  <si>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</si>
  <si>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</si>
  <si>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</si>
  <si>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</si>
  <si>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</si>
  <si>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</si>
  <si>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</si>
  <si>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</si>
  <si>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</si>
  <si>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</si>
  <si>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</si>
  <si>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</si>
  <si>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</si>
  <si>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</si>
  <si>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</si>
  <si>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</si>
  <si>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</si>
  <si>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</si>
  <si>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</si>
  <si>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</si>
  <si>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</si>
  <si>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</si>
  <si>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</si>
  <si>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</si>
  <si>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</si>
  <si>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</si>
  <si>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</si>
  <si>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</si>
  <si>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</si>
  <si>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</si>
  <si>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</si>
  <si>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</si>
  <si>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</si>
  <si>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</si>
  <si>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</si>
  <si>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</si>
  <si>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</si>
  <si>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</si>
  <si>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</si>
  <si>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</si>
  <si>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</si>
  <si>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</si>
  <si>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</si>
  <si>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</si>
  <si>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</si>
  <si>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</si>
  <si>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</si>
  <si>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</si>
  <si>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</si>
  <si>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</si>
  <si>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</si>
  <si>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</si>
  <si>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</si>
  <si>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</si>
  <si>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</si>
  <si>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</si>
  <si>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</si>
  <si>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</si>
  <si>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</si>
  <si>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</si>
  <si>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</si>
  <si>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</si>
  <si>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</si>
  <si>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</si>
  <si>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</si>
  <si>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</si>
  <si>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</si>
  <si>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</si>
  <si>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</si>
  <si>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</si>
  <si>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</si>
  <si>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</si>
  <si>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</si>
  <si>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</si>
  <si>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</si>
  <si>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</si>
  <si>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</si>
  <si>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</si>
  <si>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</si>
  <si>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</si>
  <si>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</si>
  <si>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</si>
  <si>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</si>
  <si>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</si>
  <si>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</si>
  <si>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</si>
  <si>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</si>
  <si>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</si>
  <si>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</si>
  <si>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</si>
  <si>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</si>
  <si>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</si>
  <si>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</si>
  <si>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</si>
  <si>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</si>
  <si>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</si>
  <si>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</si>
  <si>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</si>
  <si>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</si>
  <si>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</si>
  <si>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</si>
  <si>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</si>
  <si>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</si>
  <si>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</si>
  <si>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</si>
  <si>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</si>
  <si>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</si>
  <si>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</si>
  <si>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</si>
  <si>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</si>
  <si>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</si>
  <si>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</si>
  <si>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</si>
  <si>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</si>
  <si>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</si>
  <si>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</si>
  <si>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</si>
  <si>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</si>
  <si>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</si>
  <si>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</si>
  <si>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</si>
  <si>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</si>
  <si>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</si>
  <si>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</si>
  <si>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</si>
  <si>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</si>
  <si>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</si>
  <si>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</si>
  <si>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</si>
  <si>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</si>
  <si>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</si>
  <si>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</si>
  <si>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</si>
  <si>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</si>
  <si>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</si>
  <si>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</si>
  <si>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</si>
  <si>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</si>
  <si>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</si>
  <si>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</si>
  <si>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</si>
  <si>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</si>
  <si>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</si>
  <si>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</si>
  <si>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</si>
  <si>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</si>
  <si>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</si>
  <si>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</si>
  <si>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</si>
  <si>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</si>
  <si>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</si>
  <si>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</si>
  <si>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</si>
  <si>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</si>
  <si>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</si>
  <si>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</si>
  <si>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</si>
  <si>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</si>
  <si>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</si>
  <si>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</si>
  <si>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</si>
  <si>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</si>
  <si>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</si>
  <si>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</si>
  <si>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</si>
  <si>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</si>
  <si>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</si>
  <si>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</si>
  <si>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</si>
  <si>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</si>
  <si>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</si>
  <si>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</si>
  <si>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</si>
  <si>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</si>
  <si>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</si>
  <si>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</si>
  <si>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</si>
  <si>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</si>
  <si>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</si>
  <si>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</si>
  <si>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</si>
  <si>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</si>
  <si>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</si>
  <si>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</si>
  <si>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</si>
  <si>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</si>
  <si>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</si>
  <si>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</si>
  <si>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</si>
  <si>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</si>
  <si>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</si>
  <si>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</si>
  <si>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</si>
  <si>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</si>
  <si>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</si>
  <si>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</si>
  <si>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</si>
  <si>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</si>
  <si>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</si>
  <si>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</si>
  <si>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</si>
  <si>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</si>
  <si>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</si>
  <si>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</si>
  <si>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</si>
  <si>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</si>
  <si>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</si>
  <si>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</si>
  <si>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</si>
  <si>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</si>
  <si>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</si>
  <si>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</si>
  <si>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</si>
  <si>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</si>
  <si>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</si>
  <si>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</si>
  <si>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</si>
  <si>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</si>
  <si>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</si>
  <si>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</si>
  <si>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</si>
  <si>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</si>
  <si>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</si>
  <si>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</si>
  <si>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</si>
  <si>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</si>
  <si>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</si>
  <si>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</si>
  <si>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</si>
  <si>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</si>
  <si>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</si>
  <si>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</si>
  <si>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</si>
  <si>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</si>
  <si>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</si>
  <si>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</si>
  <si>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</si>
  <si>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</si>
  <si>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</si>
  <si>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</si>
  <si>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</si>
  <si>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</si>
  <si>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</si>
  <si>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</si>
  <si>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</si>
  <si>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</si>
  <si>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</si>
  <si>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</si>
  <si>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</si>
  <si>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</si>
  <si>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</si>
  <si>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</si>
  <si>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</si>
  <si>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</si>
  <si>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</si>
  <si>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</si>
  <si>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</si>
  <si>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</si>
  <si>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</si>
  <si>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</si>
  <si>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</si>
  <si>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</si>
  <si>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</si>
  <si>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</si>
  <si>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</si>
  <si>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</si>
  <si>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</si>
  <si>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</si>
  <si>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</si>
  <si>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</si>
  <si>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</si>
  <si>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</si>
  <si>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</si>
  <si>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</si>
  <si>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</si>
  <si>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</si>
  <si>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</si>
  <si>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</si>
  <si>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</si>
  <si>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</si>
  <si>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</si>
  <si>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</si>
  <si>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</si>
  <si>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</si>
  <si>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</si>
  <si>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</si>
  <si>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</si>
  <si>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</si>
  <si>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</si>
  <si>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</si>
  <si>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</si>
  <si>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</si>
  <si>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</si>
  <si>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</si>
  <si>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</si>
  <si>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</si>
  <si>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</si>
  <si>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</si>
  <si>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</si>
  <si>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</si>
  <si>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</si>
  <si>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</si>
  <si>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</si>
  <si>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</si>
  <si>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</si>
  <si>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</si>
  <si>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</si>
  <si>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</si>
  <si>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</si>
  <si>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</si>
  <si>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</si>
  <si>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</si>
  <si>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</si>
  <si>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</si>
  <si>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</si>
  <si>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</si>
  <si>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</si>
  <si>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</si>
  <si>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</si>
  <si>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</si>
  <si>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</si>
  <si>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</si>
  <si>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</si>
  <si>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</si>
  <si>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</si>
  <si>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</si>
  <si>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</si>
  <si>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</si>
  <si>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</si>
  <si>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</si>
  <si>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</si>
  <si>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</si>
  <si>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</si>
  <si>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</si>
  <si>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</si>
  <si>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</si>
  <si>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</si>
  <si>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</si>
  <si>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</si>
  <si>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</si>
  <si>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</si>
  <si>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</si>
  <si>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</si>
  <si>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</si>
  <si>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</si>
  <si>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</si>
  <si>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</si>
  <si>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</si>
  <si>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</si>
  <si>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</si>
  <si>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</si>
  <si>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</si>
  <si>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</si>
  <si>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</si>
  <si>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</si>
  <si>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</si>
  <si>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</si>
  <si>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</si>
  <si>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</si>
  <si>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</si>
  <si>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</si>
  <si>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</si>
  <si>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</si>
  <si>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</si>
  <si>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</si>
  <si>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</si>
  <si>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</si>
  <si>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</si>
  <si>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</si>
  <si>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</si>
  <si>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</si>
  <si>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</si>
  <si>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</si>
  <si>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</si>
  <si>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</si>
  <si>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</si>
  <si>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</si>
  <si>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</si>
  <si>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</si>
  <si>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</si>
  <si>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</si>
  <si>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</si>
  <si>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</si>
  <si>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</si>
  <si>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</si>
  <si>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</si>
  <si>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</si>
  <si>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</si>
  <si>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</si>
  <si>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</si>
  <si>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</si>
  <si>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</si>
  <si>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</si>
  <si>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</si>
  <si>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</si>
  <si>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</si>
  <si>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</si>
  <si>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</si>
  <si>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</si>
  <si>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</si>
  <si>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</si>
  <si>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</si>
  <si>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</si>
  <si>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</si>
  <si>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</si>
  <si>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</si>
  <si>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</si>
  <si>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</si>
  <si>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</si>
  <si>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</si>
  <si>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</si>
  <si>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</si>
  <si>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</si>
  <si>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</si>
  <si>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</si>
  <si>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</si>
  <si>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</si>
  <si>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</si>
  <si>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</si>
  <si>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</si>
  <si>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</si>
  <si>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</si>
  <si>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</si>
  <si>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</si>
  <si>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</si>
  <si>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</si>
  <si>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</si>
  <si>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</si>
  <si>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</si>
  <si>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</si>
  <si>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</si>
  <si>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</si>
  <si>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</si>
  <si>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</si>
  <si>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</si>
  <si>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</si>
  <si>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</si>
  <si>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</si>
  <si>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</si>
  <si>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</si>
  <si>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</si>
  <si>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</si>
  <si>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</si>
  <si>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</si>
  <si>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</si>
  <si>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</si>
  <si>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</si>
  <si>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</si>
  <si>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</si>
  <si>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</si>
  <si>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</si>
  <si>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</si>
  <si>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</si>
  <si>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</si>
  <si>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</si>
  <si>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</si>
  <si>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</si>
  <si>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</si>
  <si>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</si>
  <si>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</si>
  <si>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</si>
  <si>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</si>
  <si>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</si>
  <si>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</si>
  <si>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</si>
  <si>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</si>
  <si>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</si>
  <si>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</si>
  <si>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</si>
  <si>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</si>
  <si>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</si>
  <si>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</si>
  <si>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</si>
  <si>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</si>
  <si>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</si>
  <si>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</si>
  <si>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</si>
  <si>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</si>
  <si>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</si>
  <si>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</si>
  <si>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</si>
  <si>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</si>
  <si>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</si>
  <si>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</si>
  <si>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</si>
  <si>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</si>
  <si>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</si>
  <si>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</si>
  <si>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</si>
  <si>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</si>
  <si>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</si>
  <si>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</si>
  <si>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</si>
  <si>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</si>
  <si>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</si>
  <si>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</si>
  <si>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</si>
  <si>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</si>
  <si>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</si>
  <si>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</si>
  <si>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</si>
  <si>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</si>
  <si>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</si>
  <si>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</si>
  <si>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</si>
  <si>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</si>
  <si>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</si>
  <si>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</si>
  <si>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</si>
  <si>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</si>
  <si>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</si>
  <si>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</si>
  <si>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</si>
  <si>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</si>
  <si>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</si>
  <si>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</si>
  <si>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</si>
  <si>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</si>
  <si>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</si>
  <si>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</si>
  <si>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</si>
  <si>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</si>
  <si>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</si>
  <si>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</si>
  <si>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</si>
  <si>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</si>
  <si>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</si>
  <si>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</si>
  <si>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</si>
  <si>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</si>
  <si>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</si>
  <si>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</si>
  <si>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</si>
  <si>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</si>
  <si>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</si>
  <si>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</si>
  <si>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</si>
  <si>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</si>
  <si>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</si>
  <si>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</si>
  <si>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</si>
  <si>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</si>
  <si>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</si>
  <si>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</si>
  <si>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</si>
  <si>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</si>
  <si>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</si>
  <si>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</si>
  <si>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</si>
  <si>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</si>
  <si>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</si>
  <si>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</si>
  <si>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</si>
  <si>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</si>
  <si>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</si>
  <si>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</si>
  <si>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</si>
  <si>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</si>
  <si>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</si>
  <si>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</si>
  <si>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</si>
  <si>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</si>
  <si>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</si>
  <si>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</si>
  <si>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</si>
  <si>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</si>
  <si>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</si>
  <si>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</si>
  <si>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</si>
  <si>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</si>
  <si>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</si>
  <si>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</si>
  <si>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</si>
  <si>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</si>
  <si>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</si>
  <si>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</si>
  <si>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</si>
  <si>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</si>
  <si>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</si>
  <si>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</si>
  <si>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</si>
  <si>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</si>
  <si>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</si>
  <si>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</si>
  <si>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</si>
  <si>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</si>
  <si>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</si>
  <si>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</si>
  <si>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</si>
  <si>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</si>
  <si>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</si>
  <si>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</si>
  <si>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</si>
  <si>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</si>
  <si>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</si>
  <si>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</si>
  <si>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</si>
  <si>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</si>
  <si>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</si>
  <si>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</si>
  <si>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</si>
  <si>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</si>
  <si>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</si>
  <si>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</si>
  <si>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</si>
  <si>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</si>
  <si>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</si>
  <si>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</si>
  <si>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</si>
  <si>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</si>
  <si>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</si>
  <si>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</si>
  <si>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</si>
  <si>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</si>
  <si>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</si>
  <si>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</si>
  <si>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</si>
  <si>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</si>
  <si>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</si>
  <si>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</si>
  <si>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</si>
  <si>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</si>
  <si>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</si>
  <si>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</si>
  <si>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</si>
  <si>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</si>
  <si>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</si>
  <si>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</si>
  <si>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</si>
  <si>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</si>
  <si>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</si>
  <si>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</si>
  <si>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</si>
  <si>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</si>
  <si>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</si>
  <si>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</si>
  <si>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</si>
  <si>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</si>
  <si>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</si>
  <si>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</si>
  <si>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</si>
  <si>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</si>
  <si>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</si>
  <si>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</si>
  <si>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</si>
  <si>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</si>
  <si>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</si>
  <si>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</si>
  <si>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</si>
  <si>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</si>
  <si>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</si>
  <si>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</si>
  <si>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</si>
  <si>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</si>
  <si>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</si>
  <si>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</si>
  <si>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</si>
  <si>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</si>
  <si>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</si>
  <si>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</si>
  <si>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</si>
  <si>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</si>
  <si>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</si>
  <si>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</si>
  <si>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</si>
  <si>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</si>
  <si>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</si>
  <si>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</si>
  <si>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</si>
  <si>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</si>
  <si>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</si>
  <si>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</si>
  <si>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</si>
  <si>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</si>
  <si>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</si>
  <si>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</si>
  <si>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</si>
  <si>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</si>
  <si>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</si>
  <si>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</si>
  <si>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</si>
  <si>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</si>
  <si>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</si>
  <si>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</si>
  <si>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</si>
  <si>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</si>
  <si>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</si>
  <si>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</si>
  <si>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</si>
  <si>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</si>
  <si>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</si>
  <si>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</si>
  <si>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</si>
  <si>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</si>
  <si>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</si>
  <si>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</si>
  <si>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</si>
  <si>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</si>
  <si>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</si>
  <si>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</si>
  <si>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</si>
  <si>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</si>
  <si>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</si>
  <si>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</si>
  <si>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</si>
  <si>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</si>
  <si>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</si>
  <si>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</si>
  <si>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</si>
  <si>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</si>
  <si>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</si>
  <si>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</si>
  <si>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</si>
  <si>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</si>
  <si>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</si>
  <si>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</si>
  <si>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</si>
  <si>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</si>
  <si>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</si>
  <si>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</si>
  <si>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</si>
  <si>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</si>
  <si>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</si>
  <si>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</si>
  <si>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</si>
  <si>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</si>
  <si>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</si>
  <si>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</si>
  <si>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</si>
  <si>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</si>
  <si>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</si>
  <si>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</si>
  <si>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</si>
  <si>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</si>
  <si>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</si>
  <si>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</si>
  <si>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</si>
  <si>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</si>
  <si>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</si>
  <si>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</si>
  <si>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</si>
  <si>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</si>
  <si>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</si>
  <si>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</si>
  <si>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</si>
  <si>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</si>
  <si>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</si>
  <si>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</si>
  <si>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</si>
  <si>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</si>
  <si>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</si>
  <si>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</si>
  <si>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</si>
  <si>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</si>
  <si>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</si>
  <si>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</si>
  <si>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</si>
  <si>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</si>
  <si>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</si>
  <si>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</si>
  <si>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</si>
  <si>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</si>
  <si>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</si>
  <si>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</si>
  <si>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</si>
  <si>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</si>
  <si>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</si>
  <si>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</si>
  <si>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</si>
  <si>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</si>
  <si>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</si>
  <si>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</si>
  <si>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</si>
  <si>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</si>
  <si>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</si>
  <si>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</si>
  <si>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</si>
  <si>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</si>
  <si>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</si>
  <si>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</si>
  <si>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</si>
  <si>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</si>
  <si>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</si>
  <si>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</si>
  <si>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</si>
  <si>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</si>
  <si>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</si>
  <si>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</si>
  <si>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</si>
  <si>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</si>
  <si>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</si>
  <si>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</si>
  <si>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</si>
  <si>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</si>
  <si>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</si>
  <si>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</si>
  <si>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</si>
  <si>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</si>
  <si>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</si>
  <si>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</si>
  <si>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</si>
  <si>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</si>
  <si>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</si>
  <si>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</si>
  <si>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</si>
  <si>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</si>
  <si>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</si>
  <si>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</si>
  <si>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</si>
  <si>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</si>
  <si>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</si>
  <si>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</si>
  <si>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</si>
  <si>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</si>
  <si>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</si>
  <si>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</si>
  <si>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</si>
  <si>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</si>
  <si>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</si>
  <si>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</si>
  <si>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</si>
  <si>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</si>
  <si>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</si>
  <si>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</si>
  <si>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</si>
  <si>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</si>
  <si>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</si>
  <si>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</si>
  <si>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</si>
  <si>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</si>
  <si>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</si>
  <si>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</si>
  <si>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</si>
  <si>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</si>
  <si>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</si>
  <si>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</si>
  <si>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</si>
  <si>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</si>
  <si>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</si>
  <si>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</si>
  <si>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</si>
  <si>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</si>
  <si>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</si>
  <si>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</si>
  <si>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</si>
  <si>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</si>
  <si>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</si>
  <si>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</si>
  <si>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</si>
  <si>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</si>
  <si>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</si>
  <si>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</si>
  <si>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</si>
  <si>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</si>
  <si>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</si>
  <si>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</si>
  <si>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</si>
  <si>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</si>
  <si>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</si>
  <si>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</si>
  <si>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</si>
  <si>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</si>
  <si>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</si>
  <si>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</si>
  <si>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</si>
  <si>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</si>
  <si>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</si>
  <si>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</si>
  <si>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</si>
  <si>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</si>
  <si>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</si>
  <si>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</si>
  <si>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</si>
  <si>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</si>
  <si>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</si>
  <si>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</si>
  <si>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</si>
  <si>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</si>
  <si>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</si>
  <si>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</si>
  <si>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</si>
  <si>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</si>
  <si>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</si>
  <si>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</si>
  <si>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</si>
  <si>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</si>
  <si>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</si>
  <si>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</si>
  <si>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</si>
  <si>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</si>
  <si>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</si>
  <si>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</si>
  <si>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</si>
  <si>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</si>
  <si>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</si>
  <si>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</si>
  <si>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</si>
  <si>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</si>
  <si>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</si>
  <si>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</si>
  <si>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</si>
  <si>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</si>
  <si>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</si>
  <si>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</si>
  <si>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</si>
  <si>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</si>
  <si>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</si>
  <si>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</si>
  <si>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</si>
  <si>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</si>
  <si>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</si>
  <si>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</si>
  <si>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</si>
  <si>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</si>
  <si>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</si>
  <si>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</si>
  <si>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</si>
  <si>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</si>
  <si>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</si>
  <si>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</si>
  <si>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</si>
  <si>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</si>
  <si>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</si>
  <si>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</si>
  <si>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</si>
  <si>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</si>
  <si>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</si>
  <si>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</si>
  <si>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</si>
  <si>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</si>
  <si>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</si>
  <si>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</si>
  <si>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</si>
  <si>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</si>
  <si>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</si>
  <si>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</si>
  <si>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</si>
  <si>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</si>
  <si>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</si>
  <si>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</si>
  <si>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</si>
  <si>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</si>
  <si>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</si>
  <si>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</si>
  <si>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</si>
  <si>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</si>
  <si>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</si>
  <si>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</si>
  <si>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</si>
  <si>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</si>
  <si>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</si>
  <si>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</si>
  <si>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</si>
  <si>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</si>
  <si>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</si>
  <si>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</si>
  <si>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</si>
  <si>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</si>
  <si>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</si>
  <si>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</si>
  <si>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</si>
  <si>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</si>
  <si>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</si>
  <si>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</si>
  <si>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</si>
  <si>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</si>
  <si>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</si>
  <si>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</si>
  <si>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</si>
  <si>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</si>
  <si>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</si>
  <si>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</si>
  <si>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</si>
  <si>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</si>
  <si>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</si>
  <si>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</si>
  <si>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</si>
  <si>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</si>
  <si>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</si>
  <si>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</si>
  <si>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</si>
  <si>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</si>
  <si>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</si>
  <si>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</si>
  <si>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</si>
  <si>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</si>
  <si>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</si>
  <si>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</si>
  <si>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</si>
  <si>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</si>
  <si>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</si>
  <si>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</si>
  <si>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</si>
  <si>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</si>
  <si>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</si>
  <si>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</si>
  <si>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</si>
  <si>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</si>
  <si>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</si>
  <si>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</si>
  <si>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</si>
  <si>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</si>
  <si>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</si>
  <si>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</si>
  <si>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</si>
  <si>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</si>
  <si>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</si>
  <si>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</si>
  <si>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</si>
  <si>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</si>
  <si>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</si>
  <si>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</si>
  <si>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</si>
  <si>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</si>
  <si>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</si>
  <si>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</si>
  <si>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</si>
  <si>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</si>
  <si>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</si>
  <si>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</si>
  <si>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</si>
  <si>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</si>
  <si>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</si>
  <si>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</si>
  <si>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</si>
  <si>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</si>
  <si>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</si>
  <si>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</si>
  <si>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</si>
  <si>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</si>
  <si>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</si>
  <si>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</si>
  <si>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</si>
  <si>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</si>
  <si>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</si>
  <si>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</si>
  <si>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</si>
  <si>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</si>
  <si>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</si>
  <si>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</si>
  <si>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</si>
  <si>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</si>
  <si>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</si>
  <si>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</si>
  <si>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</si>
  <si>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</si>
  <si>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</si>
  <si>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</si>
  <si>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</si>
  <si>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</si>
  <si>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</si>
  <si>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</si>
  <si>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</si>
  <si>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</si>
  <si>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</si>
  <si>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</si>
  <si>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</si>
  <si>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</si>
  <si>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</si>
  <si>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</si>
  <si>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</si>
  <si>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</si>
  <si>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</si>
  <si>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</si>
  <si>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</si>
  <si>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</si>
  <si>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</si>
  <si>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</si>
  <si>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</si>
  <si>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</si>
  <si>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</si>
  <si>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</si>
  <si>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</si>
  <si>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</si>
  <si>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</si>
  <si>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</si>
  <si>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</si>
  <si>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</si>
  <si>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</si>
  <si>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</si>
  <si>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</si>
  <si>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</si>
  <si>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</si>
  <si>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</si>
  <si>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</si>
  <si>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</si>
  <si>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</si>
  <si>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</si>
  <si>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</si>
  <si>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</si>
  <si>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</si>
  <si>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</si>
  <si>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</si>
  <si>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</si>
  <si>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</si>
  <si>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</si>
  <si>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</si>
  <si>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</si>
  <si>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</si>
  <si>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</si>
  <si>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</si>
  <si>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</si>
  <si>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</si>
  <si>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</si>
  <si>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</si>
  <si>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</si>
  <si>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</si>
  <si>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</si>
  <si>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</si>
  <si>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</si>
  <si>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</si>
  <si>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</si>
  <si>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</si>
  <si>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</si>
  <si>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</si>
  <si>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</si>
  <si>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</si>
  <si>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</si>
  <si>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</si>
  <si>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</si>
  <si>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</si>
  <si>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</si>
  <si>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</si>
  <si>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</si>
  <si>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</si>
  <si>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</si>
  <si>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</si>
  <si>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</si>
  <si>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</si>
  <si>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</si>
  <si>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</si>
  <si>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</si>
  <si>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</si>
  <si>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</si>
  <si>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</si>
  <si>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</si>
  <si>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</si>
  <si>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</si>
  <si>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</si>
  <si>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</si>
  <si>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</si>
  <si>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</si>
  <si>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</si>
  <si>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</si>
  <si>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</si>
  <si>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</si>
  <si>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</si>
  <si>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</si>
  <si>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</si>
  <si>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</si>
  <si>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</si>
  <si>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</si>
  <si>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</si>
  <si>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</si>
  <si>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</si>
  <si>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</si>
  <si>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</si>
  <si>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</si>
  <si>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</si>
  <si>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</si>
  <si>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</si>
  <si>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</si>
  <si>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</si>
  <si>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</si>
  <si>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</si>
  <si>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</si>
  <si>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</si>
  <si>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</si>
  <si>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</si>
  <si>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</si>
  <si>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</si>
  <si>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</si>
  <si>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</si>
  <si>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</si>
  <si>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</si>
  <si>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</si>
  <si>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</si>
  <si>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</si>
  <si>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</si>
  <si>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</si>
  <si>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</si>
  <si>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</si>
  <si>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</si>
  <si>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</si>
  <si>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</si>
  <si>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</si>
  <si>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</si>
  <si>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</si>
  <si>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</si>
  <si>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</si>
  <si>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</si>
  <si>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</si>
  <si>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</si>
  <si>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</si>
  <si>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</si>
  <si>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</si>
  <si>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</si>
  <si>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</si>
  <si>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</si>
  <si>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</si>
  <si>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</si>
  <si>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</si>
  <si>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</si>
  <si>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</si>
  <si>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</si>
  <si>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</si>
  <si>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</si>
  <si>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</si>
  <si>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</si>
  <si>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</si>
  <si>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</si>
  <si>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</si>
  <si>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</si>
  <si>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</si>
  <si>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</si>
  <si>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</si>
  <si>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</si>
  <si>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</si>
  <si>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</si>
  <si>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</si>
  <si>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</si>
  <si>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</si>
  <si>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</si>
  <si>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</si>
  <si>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</si>
  <si>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</si>
  <si>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</si>
  <si>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</si>
  <si>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</si>
  <si>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</si>
  <si>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</si>
  <si>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</si>
  <si>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</si>
  <si>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</si>
  <si>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</si>
  <si>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</si>
  <si>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</si>
  <si>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</si>
  <si>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</si>
  <si>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</si>
  <si>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</si>
  <si>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</si>
  <si>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</si>
  <si>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</si>
  <si>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</si>
  <si>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</si>
  <si>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</si>
  <si>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</si>
  <si>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</si>
  <si>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</si>
  <si>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</si>
  <si>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</si>
  <si>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</si>
  <si>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</si>
  <si>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</si>
  <si>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</si>
  <si>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</si>
  <si>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</si>
  <si>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</si>
  <si>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</si>
  <si>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</si>
  <si>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</si>
  <si>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</si>
  <si>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</si>
  <si>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</si>
  <si>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</si>
  <si>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</si>
  <si>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</si>
  <si>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</si>
  <si>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</si>
  <si>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</si>
  <si>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</si>
  <si>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</si>
  <si>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</si>
  <si>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</si>
  <si>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</si>
  <si>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</si>
  <si>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</si>
  <si>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</si>
  <si>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</si>
  <si>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</si>
  <si>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</si>
  <si>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</si>
  <si>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</si>
  <si>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</si>
  <si>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</si>
  <si>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</si>
  <si>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</si>
  <si>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</si>
  <si>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</si>
  <si>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</si>
  <si>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</si>
  <si>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</si>
  <si>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</si>
  <si>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</si>
  <si>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</si>
  <si>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</si>
  <si>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</si>
  <si>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</si>
  <si>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</si>
  <si>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</si>
  <si>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</si>
  <si>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</si>
  <si>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</si>
  <si>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</si>
  <si>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</si>
  <si>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</si>
  <si>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</si>
  <si>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</si>
  <si>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</si>
  <si>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</si>
  <si>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</si>
  <si>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</si>
  <si>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</si>
  <si>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</si>
  <si>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</si>
  <si>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</si>
  <si>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</si>
  <si>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</si>
  <si>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</si>
  <si>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</si>
  <si>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</si>
  <si>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</si>
  <si>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</si>
  <si>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</si>
  <si>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</si>
  <si>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</si>
  <si>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</si>
  <si>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</si>
  <si>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</si>
  <si>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</si>
  <si>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</si>
  <si>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</si>
  <si>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</si>
  <si>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</si>
  <si>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</si>
  <si>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</si>
  <si>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</si>
  <si>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</si>
  <si>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</si>
  <si>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</si>
  <si>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</si>
  <si>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</si>
  <si>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</si>
  <si>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</si>
  <si>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</si>
  <si>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</si>
  <si>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</si>
  <si>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</si>
  <si>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</si>
  <si>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</si>
  <si>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</si>
  <si>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</si>
  <si>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</si>
  <si>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</si>
  <si>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</si>
  <si>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</si>
  <si>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</si>
  <si>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</si>
  <si>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</si>
  <si>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</si>
  <si>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</si>
  <si>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</si>
  <si>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</si>
  <si>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</si>
  <si>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</si>
  <si>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</si>
  <si>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</si>
  <si>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</si>
  <si>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</si>
  <si>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</si>
  <si>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</si>
  <si>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</si>
  <si>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</si>
  <si>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</si>
  <si>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</si>
  <si>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</si>
  <si>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</si>
  <si>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</si>
  <si>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</si>
  <si>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</si>
  <si>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</si>
  <si>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</si>
  <si>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</si>
  <si>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</si>
  <si>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</si>
  <si>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</si>
  <si>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</si>
  <si>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</si>
  <si>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</si>
  <si>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</si>
  <si>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</si>
  <si>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</si>
  <si>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</si>
  <si>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</si>
  <si>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</si>
  <si>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</si>
  <si>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</si>
  <si>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</si>
  <si>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</si>
  <si>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</si>
  <si>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</si>
  <si>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</si>
  <si>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</si>
  <si>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</si>
  <si>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</si>
  <si>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</si>
  <si>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</si>
  <si>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</si>
  <si>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</si>
  <si>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</si>
  <si>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</si>
  <si>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</si>
  <si>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</si>
  <si>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</si>
  <si>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</si>
  <si>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</si>
  <si>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</si>
  <si>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</si>
  <si>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</si>
  <si>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</si>
  <si>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</si>
  <si>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</si>
  <si>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</si>
  <si>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</si>
  <si>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</si>
  <si>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</si>
  <si>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</si>
  <si>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</si>
  <si>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</si>
  <si>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</si>
  <si>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</si>
  <si>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</si>
  <si>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</si>
  <si>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</si>
  <si>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</si>
  <si>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</si>
  <si>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</si>
  <si>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</si>
  <si>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</si>
  <si>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</si>
  <si>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</si>
  <si>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</si>
  <si>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</si>
  <si>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</si>
  <si>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</si>
  <si>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</si>
  <si>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</si>
  <si>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</si>
  <si>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</si>
  <si>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</si>
  <si>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</si>
  <si>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</si>
  <si>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</si>
  <si>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</si>
  <si>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</si>
  <si>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</si>
  <si>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</si>
  <si>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</si>
  <si>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</si>
  <si>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</si>
  <si>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</si>
  <si>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</si>
  <si>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</si>
  <si>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</si>
  <si>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</si>
  <si>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</si>
  <si>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</si>
  <si>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</si>
  <si>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</si>
  <si>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</si>
  <si>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</si>
  <si>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</si>
  <si>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</si>
  <si>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</si>
  <si>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</si>
  <si>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</si>
  <si>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</si>
  <si>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</si>
  <si>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</si>
  <si>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</si>
  <si>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</si>
  <si>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</si>
  <si>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</si>
  <si>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</si>
  <si>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</si>
  <si>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</si>
  <si>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</si>
  <si>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</si>
  <si>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</si>
  <si>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</si>
  <si>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</si>
  <si>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</si>
  <si>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</si>
  <si>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</si>
  <si>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</si>
  <si>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</si>
  <si>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</si>
  <si>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</si>
  <si>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</si>
  <si>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</si>
  <si>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</si>
  <si>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</si>
  <si>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</si>
  <si>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</si>
  <si>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</si>
  <si>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</si>
  <si>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</si>
  <si>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</si>
  <si>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</si>
  <si>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</si>
  <si>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</si>
  <si>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</si>
  <si>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</si>
  <si>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</si>
  <si>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</si>
  <si>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</si>
  <si>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</si>
  <si>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</si>
  <si>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</si>
  <si>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</si>
  <si>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</si>
  <si>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</si>
  <si>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</si>
  <si>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</si>
  <si>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</si>
  <si>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</si>
  <si>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</si>
  <si>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</si>
  <si>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</si>
  <si>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</si>
  <si>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</si>
  <si>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</si>
  <si>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</si>
  <si>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</si>
  <si>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</si>
  <si>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</si>
  <si>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</si>
  <si>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</si>
  <si>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</si>
  <si>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</si>
  <si>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</si>
  <si>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</si>
  <si>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</si>
  <si>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</si>
  <si>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</si>
  <si>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</si>
  <si>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</si>
  <si>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</si>
  <si>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</si>
  <si>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</si>
  <si>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</si>
  <si>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</si>
  <si>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</si>
  <si>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</si>
  <si>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</si>
  <si>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</si>
  <si>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</si>
  <si>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</si>
  <si>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</si>
  <si>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</si>
  <si>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</si>
  <si>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</si>
  <si>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</si>
  <si>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</si>
  <si>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</si>
  <si>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</si>
  <si>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</si>
  <si>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</si>
  <si>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</si>
  <si>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</si>
  <si>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</si>
  <si>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</si>
  <si>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</si>
  <si>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</si>
  <si>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</si>
  <si>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</si>
  <si>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</si>
  <si>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</si>
  <si>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</si>
  <si>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</si>
  <si>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</si>
  <si>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</si>
  <si>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</si>
  <si>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</si>
  <si>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</si>
  <si>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</si>
  <si>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</si>
  <si>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</si>
  <si>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</si>
  <si>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</si>
  <si>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</si>
  <si>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</si>
  <si>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</si>
  <si>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</si>
  <si>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</si>
  <si>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</si>
  <si>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</si>
  <si>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</si>
  <si>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</si>
  <si>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</si>
  <si>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</si>
  <si>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</si>
  <si>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</si>
  <si>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</si>
  <si>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</si>
  <si>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</si>
  <si>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</si>
  <si>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</si>
  <si>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</si>
  <si>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</si>
  <si>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</si>
  <si>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</si>
  <si>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</si>
  <si>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</si>
  <si>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</si>
  <si>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</si>
  <si>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</si>
  <si>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</si>
  <si>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</si>
  <si>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</si>
  <si>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</si>
  <si>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</si>
  <si>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</si>
  <si>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</si>
  <si>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</si>
  <si>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</si>
  <si>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</si>
  <si>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</si>
  <si>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</si>
  <si>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</si>
  <si>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</si>
  <si>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</si>
  <si>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</si>
  <si>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</si>
  <si>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</si>
  <si>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</si>
  <si>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</si>
  <si>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</si>
  <si>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</si>
  <si>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</si>
  <si>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</si>
  <si>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</si>
  <si>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</si>
  <si>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</si>
  <si>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</si>
  <si>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</si>
  <si>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</si>
  <si>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</si>
  <si>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</si>
  <si>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</si>
  <si>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</si>
  <si>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</si>
  <si>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</si>
  <si>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</si>
  <si>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</si>
  <si>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</si>
  <si>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</si>
  <si>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</si>
  <si>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</si>
  <si>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</si>
  <si>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</si>
  <si>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</si>
  <si>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</si>
  <si>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</si>
  <si>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</si>
  <si>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</si>
  <si>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</si>
  <si>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</si>
  <si>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</si>
  <si>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</si>
  <si>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</si>
  <si>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</si>
  <si>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</si>
  <si>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</si>
  <si>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</si>
  <si>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</si>
  <si>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</si>
  <si>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</si>
  <si>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</si>
  <si>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</si>
  <si>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</si>
  <si>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</si>
  <si>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</si>
  <si>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</si>
  <si>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</si>
  <si>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</si>
  <si>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</si>
  <si>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</si>
  <si>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</si>
  <si>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</si>
  <si>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</si>
  <si>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</si>
  <si>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</si>
  <si>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</si>
  <si>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</si>
  <si>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</si>
  <si>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</si>
  <si>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</si>
  <si>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</si>
  <si>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</si>
  <si>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</si>
  <si>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</si>
  <si>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</si>
  <si>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</si>
  <si>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</si>
  <si>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</si>
  <si>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</si>
  <si>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</si>
  <si>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</si>
  <si>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</si>
  <si>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</si>
  <si>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</si>
  <si>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</si>
  <si>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</si>
  <si>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</si>
  <si>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</si>
  <si>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</si>
  <si>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</si>
  <si>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</si>
  <si>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</si>
  <si>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</si>
  <si>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</si>
  <si>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</si>
  <si>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</si>
  <si>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</si>
  <si>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</si>
  <si>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</si>
  <si>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</si>
  <si>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</si>
  <si>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</si>
  <si>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</si>
  <si>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</si>
  <si>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</si>
  <si>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</si>
  <si>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</si>
  <si>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</si>
  <si>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</si>
  <si>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</si>
  <si>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</si>
  <si>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</si>
  <si>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</si>
  <si>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</si>
  <si>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</si>
  <si>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</si>
  <si>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</si>
  <si>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</si>
  <si>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</si>
  <si>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</si>
  <si>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</si>
  <si>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</si>
  <si>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</si>
  <si>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</si>
  <si>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</si>
  <si>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</si>
  <si>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</si>
  <si>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</si>
  <si>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</si>
  <si>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</si>
  <si>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</si>
  <si>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</si>
  <si>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</si>
  <si>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</si>
  <si>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</si>
  <si>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</si>
  <si>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</si>
  <si>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</si>
  <si>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</si>
  <si>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</si>
  <si>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</si>
  <si>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</si>
  <si>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</si>
  <si>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</si>
  <si>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</si>
  <si>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</si>
  <si>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</si>
  <si>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</si>
  <si>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</si>
  <si>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</si>
  <si>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</si>
  <si>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</si>
  <si>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</si>
  <si>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</si>
  <si>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</si>
  <si>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</si>
  <si>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</si>
  <si>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</si>
  <si>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</si>
  <si>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</si>
  <si>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</si>
  <si>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</si>
  <si>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</si>
  <si>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</si>
  <si>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</si>
  <si>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</si>
  <si>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</si>
  <si>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</si>
  <si>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</si>
  <si>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</si>
  <si>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</si>
  <si>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</si>
  <si>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</si>
  <si>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</si>
  <si>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</si>
  <si>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</si>
  <si>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</si>
  <si>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</si>
  <si>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</si>
  <si>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</si>
  <si>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</si>
  <si>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</si>
  <si>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</si>
  <si>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</si>
  <si>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</si>
  <si>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</si>
  <si>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</si>
  <si>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</si>
  <si>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</si>
  <si>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</si>
  <si>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</si>
  <si>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</si>
  <si>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</si>
  <si>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</si>
  <si>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</si>
  <si>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</si>
  <si>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</si>
  <si>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</si>
  <si>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</si>
  <si>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</si>
  <si>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</si>
  <si>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</si>
  <si>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</si>
  <si>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</si>
  <si>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</si>
  <si>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</si>
  <si>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</si>
  <si>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</si>
  <si>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</si>
  <si>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</si>
  <si>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</si>
  <si>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</si>
  <si>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</si>
  <si>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</si>
  <si>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</si>
  <si>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</si>
  <si>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</si>
  <si>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</si>
  <si>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</si>
  <si>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</si>
  <si>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</si>
  <si>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</si>
  <si>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</si>
  <si>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</si>
  <si>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</si>
  <si>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</si>
  <si>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</si>
  <si>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</si>
  <si>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</si>
  <si>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</si>
  <si>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</si>
  <si>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</si>
  <si>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</si>
  <si>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</si>
  <si>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</si>
  <si>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</si>
  <si>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</si>
  <si>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</si>
  <si>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</si>
  <si>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</si>
  <si>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</si>
  <si>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</si>
  <si>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</si>
  <si>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</si>
  <si>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</si>
  <si>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</si>
  <si>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</si>
  <si>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</si>
  <si>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</si>
  <si>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</si>
  <si>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</si>
  <si>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</si>
  <si>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</si>
  <si>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</si>
  <si>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</si>
  <si>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</si>
  <si>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</si>
  <si>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</si>
  <si>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</si>
  <si>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</si>
  <si>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</si>
  <si>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</si>
  <si>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</si>
  <si>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</si>
  <si>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</si>
  <si>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</si>
  <si>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</si>
  <si>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</si>
  <si>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</si>
  <si>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</si>
  <si>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</si>
  <si>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</si>
  <si>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</si>
  <si>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</si>
  <si>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</si>
  <si>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</si>
  <si>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</si>
  <si>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</si>
  <si>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</si>
  <si>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</si>
  <si>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</si>
  <si>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</si>
  <si>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</si>
  <si>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</si>
  <si>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</si>
  <si>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</si>
  <si>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</si>
  <si>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</si>
  <si>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</si>
  <si>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</si>
  <si>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</si>
  <si>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</si>
  <si>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</si>
  <si>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</si>
  <si>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</si>
  <si>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</si>
  <si>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</si>
  <si>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</si>
  <si>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</si>
  <si>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</si>
  <si>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</si>
  <si>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</si>
  <si>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</si>
  <si>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</si>
  <si>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</si>
  <si>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</si>
  <si>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</si>
  <si>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</si>
  <si>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</si>
  <si>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</si>
  <si>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</si>
  <si>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</si>
  <si>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</si>
  <si>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</si>
  <si>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</si>
  <si>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</si>
  <si>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</si>
  <si>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</si>
  <si>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</si>
  <si>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</si>
  <si>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</si>
  <si>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</si>
  <si>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</si>
  <si>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</si>
  <si>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</si>
  <si>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</si>
  <si>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</si>
  <si>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</si>
  <si>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</si>
  <si>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</si>
  <si>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</si>
  <si>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</si>
  <si>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</si>
  <si>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</si>
  <si>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</si>
  <si>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</si>
  <si>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</si>
  <si>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</si>
  <si>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</si>
  <si>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</si>
  <si>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</si>
  <si>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</si>
  <si>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</si>
  <si>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</si>
  <si>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</si>
  <si>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</si>
  <si>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</si>
  <si>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</si>
  <si>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</si>
  <si>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</si>
  <si>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</si>
  <si>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</si>
  <si>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</si>
  <si>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</si>
  <si>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</si>
  <si>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</si>
  <si>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</si>
  <si>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</si>
  <si>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</si>
  <si>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</si>
  <si>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</si>
  <si>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</si>
  <si>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</si>
  <si>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</si>
  <si>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</si>
  <si>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</si>
  <si>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</si>
  <si>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</si>
  <si>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</si>
  <si>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</si>
  <si>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</si>
  <si>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</si>
  <si>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</si>
  <si>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</si>
  <si>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</si>
  <si>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</si>
  <si>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</si>
  <si>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</si>
  <si>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</si>
  <si>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</si>
  <si>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</si>
  <si>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</si>
  <si>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</si>
  <si>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</si>
  <si>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</si>
  <si>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</si>
  <si>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</si>
  <si>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</si>
  <si>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</si>
  <si>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</si>
  <si>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</si>
  <si>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</si>
  <si>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</si>
  <si>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</si>
  <si>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</si>
  <si>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</si>
  <si>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</si>
  <si>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</si>
  <si>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</si>
  <si>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</si>
  <si>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</si>
  <si>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</si>
  <si>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</si>
  <si>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</si>
  <si>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</si>
  <si>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</si>
  <si>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</si>
  <si>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</si>
  <si>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</si>
  <si>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</si>
  <si>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</si>
  <si>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</si>
  <si>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</si>
  <si>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</si>
  <si>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</si>
  <si>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</si>
  <si>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</si>
  <si>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</si>
  <si>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</si>
  <si>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</si>
  <si>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</si>
  <si>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</si>
  <si>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</si>
  <si>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</si>
  <si>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</si>
  <si>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</si>
  <si>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</si>
  <si>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</si>
  <si>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</si>
  <si>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</si>
  <si>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</si>
  <si>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</si>
  <si>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</si>
  <si>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</si>
  <si>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</si>
  <si>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</si>
  <si>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</si>
  <si>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</si>
  <si>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</si>
  <si>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</si>
  <si>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</si>
  <si>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</si>
  <si>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</si>
  <si>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</si>
  <si>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</si>
  <si>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</si>
  <si>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</si>
  <si>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</si>
  <si>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</si>
  <si>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</si>
  <si>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</si>
  <si>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</si>
  <si>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</si>
  <si>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</si>
  <si>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</si>
  <si>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</si>
  <si>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</si>
  <si>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</si>
  <si>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</si>
  <si>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</si>
  <si>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</si>
  <si>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</si>
  <si>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</si>
  <si>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</si>
  <si>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</si>
  <si>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</si>
  <si>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</si>
  <si>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</si>
  <si>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</si>
  <si>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</si>
  <si>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</si>
  <si>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</si>
  <si>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</si>
  <si>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</si>
  <si>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</si>
  <si>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</si>
  <si>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</si>
  <si>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</si>
  <si>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</si>
  <si>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</si>
  <si>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</si>
  <si>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</si>
  <si>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</si>
  <si>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</si>
  <si>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</si>
  <si>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</si>
  <si>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</si>
  <si>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</si>
  <si>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</si>
  <si>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</si>
  <si>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</si>
  <si>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</si>
  <si>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</si>
  <si>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</si>
  <si>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</si>
  <si>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</si>
  <si>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</si>
  <si>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</si>
  <si>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</si>
  <si>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</si>
  <si>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</si>
  <si>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</si>
  <si>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</si>
  <si>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</si>
  <si>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</si>
  <si>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</si>
  <si>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</si>
  <si>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</si>
  <si>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</si>
  <si>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</si>
  <si>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</si>
  <si>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</si>
  <si>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</si>
  <si>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</si>
  <si>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</si>
  <si>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</si>
  <si>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</si>
  <si>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</si>
  <si>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</si>
  <si>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</si>
  <si>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</si>
  <si>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</si>
  <si>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</si>
  <si>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</si>
  <si>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</si>
  <si>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</si>
  <si>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</si>
  <si>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</si>
  <si>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</si>
  <si>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</si>
  <si>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</si>
  <si>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</si>
  <si>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</si>
  <si>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</si>
  <si>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</si>
  <si>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</si>
  <si>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</si>
  <si>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</si>
  <si>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</si>
  <si>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</si>
  <si>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</si>
  <si>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</si>
  <si>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</si>
  <si>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</si>
  <si>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</si>
  <si>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</si>
  <si>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</si>
  <si>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</si>
  <si>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</si>
  <si>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</si>
  <si>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</si>
  <si>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</si>
  <si>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</si>
  <si>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</si>
  <si>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</si>
  <si>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</si>
  <si>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</si>
  <si>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</si>
  <si>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</si>
  <si>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</si>
  <si>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</si>
  <si>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</si>
  <si>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</si>
  <si>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</si>
  <si>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</si>
  <si>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</si>
  <si>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</si>
  <si>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</si>
  <si>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</si>
  <si>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</si>
  <si>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</si>
  <si>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</si>
  <si>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</si>
  <si>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</si>
  <si>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</si>
  <si>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</si>
  <si>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</si>
  <si>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</si>
  <si>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</si>
  <si>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</si>
  <si>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</si>
  <si>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</si>
  <si>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</si>
  <si>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</si>
  <si>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</si>
  <si>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</si>
  <si>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</si>
  <si>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</si>
  <si>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</si>
  <si>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</si>
  <si>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</si>
  <si>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</si>
  <si>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</si>
  <si>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</si>
  <si>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</si>
  <si>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</si>
  <si>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</si>
  <si>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</si>
  <si>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</si>
  <si>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</si>
  <si>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</si>
  <si>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</si>
  <si>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</si>
  <si>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</si>
  <si>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</si>
  <si>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</si>
  <si>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</si>
  <si>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</si>
  <si>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</si>
  <si>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</si>
  <si>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</si>
  <si>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</si>
  <si>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</si>
  <si>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</si>
  <si>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</si>
  <si>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</si>
  <si>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</si>
  <si>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</si>
  <si>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</si>
  <si>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</si>
  <si>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</si>
  <si>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</si>
  <si>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</si>
  <si>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</si>
  <si>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</si>
  <si>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</si>
  <si>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</si>
  <si>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</si>
  <si>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</si>
  <si>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</si>
  <si>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</si>
  <si>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</si>
  <si>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</si>
  <si>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</si>
  <si>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</si>
  <si>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</si>
  <si>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</si>
  <si>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</si>
  <si>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</si>
  <si>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</si>
  <si>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</si>
  <si>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</si>
  <si>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</si>
  <si>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</si>
  <si>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</si>
  <si>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</si>
  <si>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</si>
  <si>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</si>
  <si>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</si>
  <si>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</si>
  <si>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</si>
  <si>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</si>
  <si>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</si>
  <si>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</si>
  <si>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</si>
  <si>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</si>
  <si>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</si>
  <si>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</si>
  <si>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</si>
  <si>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</si>
  <si>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</si>
  <si>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</si>
  <si>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</si>
  <si>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</si>
  <si>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</si>
  <si>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</si>
  <si>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</si>
  <si>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</si>
  <si>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</si>
  <si>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</si>
  <si>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</si>
  <si>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</si>
  <si>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</si>
  <si>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</si>
  <si>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</si>
  <si>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</si>
  <si>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</si>
  <si>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</si>
  <si>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</si>
  <si>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</si>
  <si>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</si>
  <si>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</si>
  <si>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</si>
  <si>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</si>
  <si>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</si>
  <si>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</si>
  <si>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</si>
  <si>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</si>
  <si>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</si>
  <si>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</si>
  <si>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</si>
  <si>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</si>
  <si>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</si>
  <si>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</si>
  <si>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</si>
  <si>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</si>
  <si>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</si>
  <si>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</si>
  <si>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</si>
  <si>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</si>
  <si>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</si>
  <si>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</si>
  <si>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</si>
  <si>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</si>
  <si>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</si>
  <si>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</si>
  <si>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</si>
  <si>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</si>
  <si>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</si>
  <si>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</si>
  <si>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</si>
  <si>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</si>
  <si>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</si>
  <si>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</si>
  <si>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</si>
  <si>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</si>
  <si>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</si>
  <si>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</si>
  <si>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</si>
  <si>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</si>
  <si>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</si>
  <si>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</si>
  <si>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</si>
  <si>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</si>
  <si>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</si>
  <si>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</si>
  <si>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</si>
  <si>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</si>
  <si>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</si>
  <si>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</si>
  <si>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</si>
  <si>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</si>
  <si>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</si>
  <si>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</si>
  <si>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</si>
  <si>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</si>
  <si>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</si>
  <si>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</si>
  <si>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</si>
  <si>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</si>
  <si>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</si>
  <si>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</si>
  <si>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</si>
  <si>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</si>
  <si>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</si>
  <si>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</si>
  <si>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</si>
  <si>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</si>
  <si>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</si>
  <si>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</si>
  <si>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</si>
  <si>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</si>
  <si>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</si>
  <si>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</si>
  <si>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</si>
  <si>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</si>
  <si>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</si>
  <si>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</si>
  <si>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</si>
  <si>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</si>
  <si>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</si>
  <si>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</si>
  <si>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</si>
  <si>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</si>
  <si>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</si>
  <si>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</si>
  <si>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</si>
  <si>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</si>
  <si>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</si>
  <si>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</si>
  <si>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</si>
  <si>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</si>
  <si>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</si>
  <si>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</si>
  <si>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</si>
  <si>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</si>
  <si>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</si>
  <si>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</si>
  <si>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</si>
  <si>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</si>
  <si>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</si>
  <si>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</si>
  <si>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</si>
  <si>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</si>
  <si>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</si>
  <si>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</si>
  <si>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</si>
  <si>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</si>
  <si>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</si>
  <si>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</si>
  <si>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</si>
  <si>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</si>
  <si>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</si>
  <si>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</si>
  <si>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</si>
  <si>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</si>
  <si>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</si>
  <si>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</si>
  <si>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</si>
  <si>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</si>
  <si>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</si>
  <si>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</si>
  <si>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</si>
  <si>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</si>
  <si>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</si>
  <si>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</si>
  <si>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</si>
  <si>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</si>
  <si>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</si>
  <si>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</si>
  <si>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</si>
  <si>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</si>
  <si>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</si>
  <si>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</si>
  <si>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</si>
  <si>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</si>
  <si>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</si>
  <si>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</si>
  <si>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</si>
  <si>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</si>
  <si>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</si>
  <si>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</si>
  <si>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</si>
  <si>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</si>
  <si>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</si>
  <si>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</si>
  <si>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</si>
  <si>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</si>
  <si>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</si>
  <si>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</si>
  <si>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</si>
  <si>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</si>
  <si>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</si>
  <si>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</si>
  <si>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</si>
  <si>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</si>
  <si>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</si>
  <si>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</si>
  <si>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</si>
  <si>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</si>
  <si>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</si>
  <si>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</si>
  <si>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</si>
  <si>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</si>
  <si>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</si>
  <si>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</si>
  <si>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</si>
  <si>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</si>
  <si>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</si>
  <si>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</si>
  <si>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</si>
  <si>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</si>
  <si>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</si>
  <si>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</si>
  <si>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</si>
  <si>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</si>
  <si>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</si>
  <si>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</si>
  <si>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</si>
  <si>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</si>
  <si>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</si>
  <si>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</si>
  <si>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</si>
  <si>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</si>
  <si>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</si>
  <si>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</si>
  <si>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</si>
  <si>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</si>
  <si>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</si>
  <si>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</si>
  <si>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</si>
  <si>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</si>
  <si>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</si>
  <si>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</si>
  <si>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</si>
  <si>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</si>
  <si>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</si>
  <si>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</si>
  <si>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</si>
  <si>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</si>
  <si>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</si>
  <si>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</si>
  <si>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</si>
  <si>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</si>
  <si>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</si>
  <si>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</si>
  <si>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</si>
  <si>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</si>
  <si>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</si>
  <si>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</si>
  <si>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</si>
  <si>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</si>
  <si>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</si>
  <si>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</si>
  <si>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</si>
  <si>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</si>
  <si>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</si>
  <si>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</si>
  <si>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</si>
  <si>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</si>
  <si>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</si>
  <si>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</si>
  <si>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</si>
  <si>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</si>
  <si>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</si>
  <si>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</si>
  <si>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</si>
  <si>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</si>
  <si>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</si>
  <si>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</si>
  <si>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</si>
  <si>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</si>
  <si>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</si>
  <si>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</si>
  <si>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</si>
  <si>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</si>
  <si>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</si>
  <si>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</si>
  <si>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</si>
  <si>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</si>
  <si>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</si>
  <si>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</si>
  <si>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</si>
  <si>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</si>
  <si>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</si>
  <si>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</si>
  <si>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</si>
  <si>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</si>
  <si>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</si>
  <si>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</si>
  <si>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</si>
  <si>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</si>
  <si>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</si>
  <si>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</si>
  <si>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</si>
  <si>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</si>
  <si>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</si>
  <si>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</si>
  <si>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</si>
  <si>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</si>
  <si>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</si>
  <si>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</si>
  <si>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</si>
  <si>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</si>
  <si>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</si>
  <si>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</si>
  <si>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</si>
  <si>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</si>
  <si>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</si>
  <si>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</si>
  <si>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</si>
  <si>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</si>
  <si>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</si>
  <si>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</si>
  <si>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</si>
  <si>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</si>
  <si>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</si>
  <si>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</si>
  <si>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</si>
  <si>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</si>
  <si>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</si>
  <si>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</si>
  <si>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</si>
  <si>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</si>
  <si>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</si>
  <si>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</si>
  <si>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</si>
  <si>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</si>
  <si>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</si>
  <si>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</si>
  <si>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</si>
  <si>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</si>
  <si>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</si>
  <si>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</si>
  <si>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</si>
  <si>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</si>
  <si>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</si>
  <si>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</si>
  <si>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</si>
  <si>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</si>
  <si>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</si>
  <si>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</si>
  <si>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</si>
  <si>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</si>
  <si>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</si>
  <si>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</si>
  <si>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</si>
  <si>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</si>
  <si>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</si>
  <si>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</si>
  <si>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</si>
  <si>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</si>
  <si>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</si>
  <si>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</si>
  <si>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</si>
  <si>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</si>
  <si>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</si>
  <si>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</si>
  <si>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</si>
  <si>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</si>
  <si>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</si>
  <si>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</si>
  <si>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</si>
  <si>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</si>
  <si>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</si>
  <si>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</si>
  <si>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</si>
  <si>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</si>
  <si>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</si>
  <si>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</si>
  <si>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</si>
  <si>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</si>
  <si>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</si>
  <si>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</si>
  <si>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</si>
  <si>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</si>
  <si>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</si>
  <si>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</si>
  <si>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</si>
  <si>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</si>
  <si>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</si>
  <si>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</si>
  <si>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</si>
  <si>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</si>
  <si>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</si>
  <si>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</si>
  <si>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</si>
  <si>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</si>
  <si>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</si>
  <si>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</si>
  <si>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</si>
  <si>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</si>
  <si>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</si>
  <si>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</si>
  <si>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</si>
  <si>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</si>
  <si>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</si>
  <si>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</si>
  <si>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</si>
  <si>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</si>
  <si>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</si>
  <si>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</si>
  <si>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</si>
  <si>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</si>
  <si>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</si>
  <si>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</si>
  <si>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</si>
  <si>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</si>
  <si>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</si>
  <si>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</si>
  <si>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</si>
  <si>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</si>
  <si>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</si>
  <si>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</si>
  <si>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</si>
  <si>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</si>
  <si>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</si>
  <si>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</si>
  <si>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</si>
  <si>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</si>
  <si>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</si>
  <si>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</si>
  <si>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</si>
  <si>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</si>
  <si>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</si>
  <si>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</si>
  <si>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</si>
  <si>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</si>
  <si>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</si>
  <si>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</si>
  <si>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</si>
  <si>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</si>
  <si>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</si>
  <si>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</si>
  <si>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</si>
  <si>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</si>
  <si>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</si>
  <si>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</si>
  <si>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</si>
  <si>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</si>
  <si>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</si>
  <si>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</si>
  <si>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</si>
  <si>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</si>
  <si>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</si>
  <si>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</si>
  <si>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</si>
  <si>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</si>
  <si>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</si>
  <si>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</si>
  <si>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</si>
  <si>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</si>
  <si>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</si>
  <si>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</si>
  <si>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</si>
  <si>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</si>
  <si>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</si>
  <si>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</si>
  <si>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</si>
  <si>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</si>
  <si>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</si>
  <si>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</si>
  <si>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</si>
  <si>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</si>
  <si>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</si>
  <si>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</si>
  <si>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</si>
  <si>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</si>
  <si>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</si>
  <si>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</si>
  <si>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</si>
  <si>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</si>
  <si>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</si>
  <si>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</si>
  <si>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</si>
  <si>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</si>
  <si>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</si>
  <si>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</si>
  <si>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</si>
  <si>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</si>
  <si>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</si>
  <si>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</si>
  <si>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</si>
  <si>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</si>
  <si>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</si>
  <si>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</si>
  <si>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</si>
  <si>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</si>
  <si>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</si>
  <si>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</si>
  <si>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</si>
  <si>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</si>
  <si>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</si>
  <si>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</si>
  <si>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</si>
  <si>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</si>
  <si>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</si>
  <si>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</si>
  <si>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</si>
  <si>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</si>
  <si>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</si>
  <si>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</si>
  <si>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</si>
  <si>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</si>
  <si>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</si>
  <si>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</si>
  <si>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</si>
  <si>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</si>
  <si>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</si>
  <si>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</si>
  <si>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</si>
  <si>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</si>
  <si>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</si>
  <si>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</si>
  <si>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</si>
  <si>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</si>
  <si>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</si>
  <si>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</si>
  <si>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</si>
  <si>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</si>
  <si>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</si>
  <si>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</si>
  <si>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</si>
  <si>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</si>
  <si>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</si>
  <si>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</si>
  <si>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</si>
  <si>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</si>
  <si>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</si>
  <si>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</si>
  <si>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</si>
  <si>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</si>
  <si>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</si>
  <si>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</si>
  <si>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</si>
  <si>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</si>
  <si>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</si>
  <si>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</si>
  <si>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</si>
  <si>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</si>
  <si>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</si>
  <si>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</si>
  <si>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</si>
  <si>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</si>
  <si>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</si>
  <si>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</si>
  <si>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</si>
  <si>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</si>
  <si>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</si>
  <si>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</si>
  <si>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</si>
  <si>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</si>
  <si>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</si>
  <si>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</si>
  <si>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</si>
  <si>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</si>
  <si>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</si>
  <si>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</si>
  <si>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</si>
  <si>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</si>
  <si>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</si>
  <si>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</si>
  <si>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</si>
  <si>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</si>
  <si>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</si>
  <si>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</si>
  <si>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</si>
  <si>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</si>
  <si>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</si>
  <si>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</si>
  <si>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</si>
  <si>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</si>
  <si>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</si>
  <si>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</si>
  <si>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</si>
  <si>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</si>
  <si>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</si>
  <si>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</si>
  <si>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</si>
  <si>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</si>
  <si>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</si>
  <si>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</si>
  <si>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</si>
  <si>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</si>
  <si>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</si>
  <si>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</si>
  <si>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</si>
  <si>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</si>
  <si>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</si>
  <si>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</si>
  <si>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</si>
  <si>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</si>
  <si>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</si>
  <si>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</si>
  <si>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</si>
  <si>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</si>
  <si>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</si>
  <si>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</si>
  <si>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</si>
  <si>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</si>
  <si>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</si>
  <si>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</si>
  <si>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</si>
  <si>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</si>
  <si>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</si>
  <si>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</si>
  <si>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</si>
  <si>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</si>
  <si>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</si>
  <si>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</si>
  <si>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</si>
  <si>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</si>
  <si>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</si>
  <si>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</si>
  <si>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</si>
  <si>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</si>
  <si>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</si>
  <si>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</si>
  <si>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</si>
  <si>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</si>
  <si>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</si>
  <si>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</si>
  <si>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</si>
  <si>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</si>
  <si>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</si>
  <si>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</si>
  <si>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</si>
  <si>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</si>
  <si>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</si>
  <si>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</si>
  <si>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</si>
  <si>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</si>
  <si>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</si>
  <si>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</si>
  <si>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</si>
  <si>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</si>
  <si>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</si>
  <si>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</si>
  <si>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</si>
  <si>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</si>
  <si>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</si>
  <si>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</si>
  <si>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</si>
  <si>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</si>
  <si>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</si>
  <si>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</si>
  <si>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</si>
  <si>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</si>
  <si>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</si>
  <si>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</si>
  <si>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</si>
  <si>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</si>
  <si>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</si>
  <si>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</si>
  <si>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</si>
  <si>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</si>
  <si>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</si>
  <si>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</si>
  <si>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</si>
  <si>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</si>
  <si>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</si>
  <si>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</si>
  <si>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</si>
  <si>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</si>
  <si>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</si>
  <si>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</si>
  <si>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</si>
  <si>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</si>
  <si>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</si>
  <si>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</si>
  <si>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</si>
  <si>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</si>
  <si>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</si>
  <si>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</si>
  <si>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</si>
  <si>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</si>
  <si>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</si>
  <si>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</si>
  <si>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</si>
  <si>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</si>
  <si>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</si>
  <si>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</si>
  <si>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</si>
  <si>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</si>
  <si>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</si>
  <si>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</si>
  <si>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</si>
  <si>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</si>
  <si>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</si>
  <si>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</si>
  <si>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</si>
  <si>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</si>
  <si>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</si>
  <si>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</si>
  <si>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</si>
  <si>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</si>
  <si>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</si>
  <si>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</si>
  <si>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</si>
  <si>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</si>
  <si>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</si>
  <si>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</si>
  <si>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</si>
  <si>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</si>
  <si>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</si>
  <si>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</si>
  <si>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</si>
  <si>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</si>
  <si>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</si>
  <si>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</si>
  <si>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</si>
  <si>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</si>
  <si>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</si>
  <si>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</si>
  <si>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</si>
  <si>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</si>
  <si>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</si>
  <si>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</si>
  <si>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</si>
  <si>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</si>
  <si>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</si>
  <si>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</si>
  <si>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</si>
  <si>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</si>
  <si>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</si>
  <si>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</si>
  <si>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</si>
  <si>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</si>
  <si>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</si>
  <si>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</si>
  <si>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</si>
  <si>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</si>
  <si>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</si>
  <si>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</si>
  <si>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</si>
  <si>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</si>
  <si>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</si>
  <si>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</si>
  <si>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</si>
  <si>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</si>
  <si>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</si>
  <si>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</si>
  <si>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</si>
  <si>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</si>
  <si>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</si>
  <si>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</si>
  <si>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</si>
  <si>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</si>
  <si>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</si>
  <si>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</si>
  <si>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</si>
  <si>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</si>
  <si>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</si>
  <si>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</si>
  <si>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</si>
  <si>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</si>
  <si>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</si>
  <si>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</si>
  <si>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</si>
  <si>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</si>
  <si>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</si>
  <si>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</si>
  <si>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</si>
  <si>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</si>
  <si>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</si>
  <si>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</si>
  <si>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</si>
  <si>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</si>
  <si>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</si>
  <si>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</si>
  <si>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</si>
  <si>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</si>
  <si>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</si>
  <si>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</si>
  <si>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</si>
  <si>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</si>
  <si>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</si>
  <si>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</si>
  <si>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</si>
  <si>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</si>
  <si>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</si>
  <si>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</si>
  <si>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</si>
  <si>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</si>
  <si>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</si>
  <si>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</si>
  <si>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</si>
  <si>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</si>
  <si>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</si>
  <si>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</si>
  <si>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</si>
  <si>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</si>
  <si>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</si>
  <si>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</si>
  <si>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</si>
  <si>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</si>
  <si>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</si>
  <si>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</si>
  <si>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</si>
  <si>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</si>
  <si>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</si>
  <si>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</si>
  <si>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</si>
  <si>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</si>
  <si>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</si>
  <si>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</si>
  <si>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</si>
  <si>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</si>
  <si>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</si>
  <si>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</si>
  <si>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</si>
  <si>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</si>
  <si>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</si>
  <si>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</si>
  <si>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</si>
  <si>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</si>
  <si>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</si>
  <si>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</si>
  <si>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</si>
  <si>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</si>
  <si>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</si>
  <si>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</si>
  <si>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</si>
  <si>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</si>
  <si>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</si>
  <si>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</si>
  <si>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</si>
  <si>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</si>
  <si>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</si>
  <si>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</si>
  <si>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</si>
  <si>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</si>
  <si>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</si>
  <si>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</si>
  <si>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</si>
  <si>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</si>
  <si>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</si>
  <si>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</si>
  <si>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</si>
  <si>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</si>
  <si>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</si>
  <si>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</si>
  <si>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</si>
  <si>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</si>
  <si>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</si>
  <si>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</si>
  <si>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</si>
  <si>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</si>
  <si>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</si>
  <si>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</si>
  <si>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</si>
  <si>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</si>
  <si>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</si>
  <si>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</si>
  <si>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</si>
  <si>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</si>
  <si>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</si>
  <si>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</si>
  <si>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</si>
  <si>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</si>
  <si>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</si>
  <si>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</si>
  <si>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</si>
  <si>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</si>
  <si>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</si>
  <si>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</si>
  <si>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</si>
  <si>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</si>
  <si>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</si>
  <si>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</si>
  <si>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</si>
  <si>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</si>
  <si>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</si>
  <si>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</si>
  <si>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</si>
  <si>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</si>
  <si>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</si>
  <si>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</si>
  <si>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</si>
  <si>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</si>
  <si>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</si>
  <si>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</si>
  <si>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</si>
  <si>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</si>
  <si>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</si>
  <si>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</si>
  <si>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</si>
  <si>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</si>
  <si>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</si>
  <si>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</si>
  <si>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</si>
  <si>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</si>
  <si>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</si>
  <si>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</si>
  <si>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</si>
  <si>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</si>
  <si>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</si>
  <si>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</si>
  <si>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</si>
  <si>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</si>
  <si>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</si>
  <si>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</si>
  <si>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</si>
  <si>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</si>
  <si>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</si>
  <si>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</si>
  <si>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</si>
  <si>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</si>
  <si>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</si>
  <si>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</si>
  <si>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</si>
  <si>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</si>
  <si>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</si>
  <si>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</si>
  <si>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</si>
  <si>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</si>
  <si>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</si>
  <si>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</si>
  <si>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</si>
  <si>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</si>
  <si>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</si>
  <si>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</si>
  <si>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</si>
  <si>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</si>
  <si>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</si>
  <si>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</si>
  <si>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</si>
  <si>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</si>
  <si>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</si>
  <si>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</si>
  <si>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</si>
  <si>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</si>
  <si>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</si>
  <si>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</si>
  <si>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</si>
  <si>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</si>
  <si>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</si>
  <si>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</si>
  <si>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</si>
  <si>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</si>
  <si>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</si>
  <si>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</si>
  <si>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</si>
  <si>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</si>
  <si>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</si>
  <si>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</si>
  <si>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</si>
  <si>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</si>
  <si>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</si>
  <si>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</si>
  <si>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</si>
  <si>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</si>
  <si>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</si>
  <si>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</si>
  <si>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</si>
  <si>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</si>
  <si>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</si>
  <si>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</si>
  <si>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</si>
  <si>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</si>
  <si>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</si>
  <si>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</si>
  <si>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</si>
  <si>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</si>
  <si>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</si>
  <si>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</si>
  <si>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</si>
  <si>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</si>
  <si>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</si>
  <si>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</si>
  <si>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</si>
  <si>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</si>
  <si>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</si>
  <si>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</si>
  <si>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</si>
  <si>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</si>
  <si>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</si>
  <si>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</si>
  <si>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</si>
  <si>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</si>
  <si>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</si>
  <si>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</si>
  <si>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</si>
  <si>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</si>
  <si>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</si>
  <si>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</si>
  <si>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</si>
  <si>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</si>
  <si>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</si>
  <si>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</si>
  <si>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</si>
  <si>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</si>
  <si>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</si>
  <si>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</si>
  <si>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</si>
  <si>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</si>
  <si>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</si>
  <si>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</si>
  <si>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</si>
  <si>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</si>
  <si>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</si>
  <si>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</si>
  <si>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</si>
  <si>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</si>
  <si>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</si>
  <si>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</si>
  <si>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</si>
  <si>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</si>
  <si>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</si>
  <si>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</si>
  <si>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</si>
  <si>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</si>
  <si>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</si>
  <si>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</si>
  <si>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</si>
  <si>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</si>
  <si>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</si>
  <si>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</si>
  <si>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</si>
  <si>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</si>
  <si>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</si>
  <si>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</si>
  <si>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</si>
  <si>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</si>
  <si>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</si>
  <si>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</si>
  <si>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</si>
  <si>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</si>
  <si>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</si>
  <si>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</si>
  <si>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</si>
  <si>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</si>
  <si>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</si>
  <si>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</si>
  <si>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</si>
  <si>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</si>
  <si>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</si>
  <si>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</si>
  <si>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</si>
  <si>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</si>
  <si>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</si>
  <si>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</si>
  <si>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</si>
  <si>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</si>
  <si>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</si>
  <si>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</si>
  <si>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</si>
  <si>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</si>
  <si>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</si>
  <si>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</si>
  <si>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</si>
  <si>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</si>
  <si>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</si>
  <si>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</si>
  <si>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</si>
  <si>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</si>
  <si>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</si>
  <si>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</si>
  <si>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</si>
  <si>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</si>
  <si>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</si>
  <si>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</si>
  <si>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</si>
  <si>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</si>
  <si>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</si>
  <si>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</si>
  <si>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</si>
  <si>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</si>
  <si>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</si>
  <si>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</si>
  <si>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</si>
  <si>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</si>
  <si>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</si>
  <si>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</si>
  <si>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</si>
  <si>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</si>
  <si>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</si>
  <si>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</si>
  <si>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</si>
  <si>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</si>
  <si>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</si>
  <si>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</si>
  <si>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</si>
  <si>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</si>
  <si>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</si>
  <si>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</si>
  <si>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</si>
  <si>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</si>
  <si>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</si>
  <si>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</si>
  <si>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</si>
  <si>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</si>
  <si>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</si>
  <si>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</si>
  <si>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</si>
  <si>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</si>
  <si>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</si>
  <si>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</si>
  <si>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</si>
  <si>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</si>
  <si>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</si>
  <si>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</si>
  <si>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</si>
  <si>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</si>
  <si>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</si>
  <si>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</si>
  <si>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</si>
  <si>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</si>
  <si>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</si>
  <si>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</si>
  <si>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</si>
  <si>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</si>
  <si>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</si>
  <si>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</si>
  <si>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</si>
  <si>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</si>
  <si>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</si>
  <si>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</si>
  <si>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</si>
  <si>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</si>
  <si>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</si>
  <si>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</si>
  <si>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</si>
  <si>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</si>
  <si>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</si>
  <si>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</si>
  <si>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</si>
  <si>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</si>
  <si>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</si>
  <si>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</si>
  <si>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</si>
  <si>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</si>
  <si>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</si>
  <si>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</si>
  <si>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</si>
  <si>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</si>
  <si>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</si>
  <si>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</si>
  <si>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</si>
  <si>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</si>
  <si>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</si>
  <si>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</si>
  <si>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</si>
  <si>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</si>
  <si>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</si>
  <si>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</si>
  <si>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</si>
  <si>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</si>
  <si>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</si>
  <si>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</si>
  <si>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</si>
  <si>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</si>
  <si>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</si>
  <si>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</si>
  <si>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</si>
  <si>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</si>
  <si>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</si>
  <si>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</si>
  <si>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</si>
  <si>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</si>
  <si>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</si>
  <si>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</si>
  <si>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</si>
  <si>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</si>
  <si>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</si>
  <si>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</si>
  <si>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</si>
  <si>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</si>
  <si>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</si>
  <si>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</si>
  <si>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</si>
  <si>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</si>
  <si>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</si>
  <si>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</si>
  <si>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</si>
  <si>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</si>
  <si>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</si>
  <si>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</si>
  <si>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</si>
  <si>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</si>
  <si>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</si>
  <si>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</si>
  <si>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</si>
  <si>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</si>
  <si>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</si>
  <si>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</si>
  <si>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</si>
  <si>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</si>
  <si>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</si>
  <si>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</si>
  <si>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</si>
  <si>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</si>
  <si>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</si>
  <si>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</si>
  <si>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</si>
  <si>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</si>
  <si>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</si>
  <si>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</si>
  <si>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</si>
  <si>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</si>
  <si>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</si>
  <si>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</si>
  <si>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</si>
  <si>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</si>
  <si>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</si>
  <si>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</si>
  <si>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</si>
  <si>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</si>
  <si>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</si>
  <si>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</si>
  <si>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</si>
  <si>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</si>
  <si>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</si>
  <si>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</si>
  <si>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</si>
  <si>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</si>
  <si>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</si>
  <si>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</si>
  <si>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</si>
  <si>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</si>
  <si>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</si>
  <si>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</si>
  <si>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</si>
  <si>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</si>
  <si>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</si>
  <si>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</si>
  <si>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</si>
  <si>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</si>
  <si>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</si>
  <si>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</si>
  <si>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</si>
  <si>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</si>
  <si>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</si>
  <si>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</si>
  <si>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</si>
  <si>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</si>
  <si>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</si>
  <si>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</si>
  <si>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</si>
  <si>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</si>
  <si>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</si>
  <si>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</si>
  <si>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</si>
  <si>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</si>
  <si>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</si>
  <si>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</si>
  <si>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</si>
  <si>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</si>
  <si>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</si>
  <si>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</si>
  <si>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</si>
  <si>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</si>
  <si>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</si>
  <si>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</si>
  <si>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</si>
  <si>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</si>
  <si>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</si>
  <si>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</si>
  <si>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</si>
  <si>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</si>
  <si>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</si>
  <si>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</si>
  <si>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</si>
  <si>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</si>
  <si>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</si>
  <si>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</si>
  <si>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</si>
  <si>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</si>
  <si>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</si>
  <si>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</si>
  <si>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</si>
  <si>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</si>
  <si>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</si>
  <si>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</si>
  <si>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</si>
  <si>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</si>
  <si>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</si>
  <si>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</si>
  <si>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</si>
  <si>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</si>
  <si>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</si>
  <si>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</si>
  <si>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</si>
  <si>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</si>
  <si>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</si>
  <si>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</si>
  <si>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</si>
  <si>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</si>
  <si>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</si>
  <si>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</si>
  <si>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</si>
  <si>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</si>
  <si>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</si>
  <si>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</si>
  <si>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</si>
  <si>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</si>
  <si>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</si>
  <si>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</si>
  <si>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</si>
  <si>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</si>
  <si>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</si>
  <si>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</si>
  <si>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</si>
  <si>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</si>
  <si>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</si>
  <si>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</si>
  <si>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</si>
  <si>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</si>
  <si>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</si>
  <si>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</si>
  <si>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</si>
  <si>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</si>
  <si>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</si>
  <si>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</si>
  <si>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</si>
  <si>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</si>
  <si>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</si>
  <si>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</si>
  <si>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</si>
  <si>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</si>
  <si>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</si>
  <si>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</si>
  <si>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</si>
  <si>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</si>
  <si>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</si>
  <si>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</si>
  <si>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</si>
  <si>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</si>
  <si>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</si>
  <si>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</si>
  <si>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</si>
  <si>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</si>
  <si>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</si>
  <si>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</si>
  <si>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</si>
  <si>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</si>
  <si>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</si>
  <si>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</si>
  <si>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</si>
  <si>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</si>
  <si>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</si>
  <si>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</si>
  <si>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</si>
  <si>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</si>
  <si>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</si>
  <si>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</si>
  <si>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</si>
  <si>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</si>
  <si>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</si>
  <si>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</si>
  <si>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</si>
  <si>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</si>
  <si>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</si>
  <si>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</si>
  <si>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</si>
  <si>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</si>
  <si>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</si>
  <si>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</si>
  <si>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</si>
  <si>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</si>
  <si>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</si>
  <si>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</si>
  <si>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</si>
  <si>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</si>
  <si>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</si>
  <si>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</si>
  <si>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</si>
  <si>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</si>
  <si>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</si>
  <si>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</si>
  <si>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</si>
  <si>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</si>
  <si>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</si>
  <si>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</si>
  <si>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</si>
  <si>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</si>
  <si>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</si>
  <si>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</si>
  <si>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</si>
  <si>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</si>
  <si>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</si>
  <si>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</si>
  <si>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</si>
  <si>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</si>
  <si>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</si>
  <si>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</si>
  <si>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</si>
  <si>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</si>
  <si>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</si>
  <si>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</si>
  <si>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</si>
  <si>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</si>
  <si>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</si>
  <si>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</si>
  <si>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</si>
  <si>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</si>
  <si>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</si>
  <si>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</si>
  <si>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</si>
  <si>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</si>
  <si>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</si>
  <si>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</si>
  <si>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</si>
  <si>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</si>
  <si>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</si>
  <si>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</si>
  <si>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</si>
  <si>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</si>
  <si>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</si>
  <si>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</si>
  <si>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</si>
  <si>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</si>
  <si>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</si>
  <si>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</si>
  <si>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</si>
  <si>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</si>
  <si>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</si>
  <si>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</si>
  <si>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</si>
  <si>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</si>
  <si>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</si>
  <si>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</si>
  <si>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</si>
  <si>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</si>
  <si>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</si>
  <si>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</si>
  <si>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</si>
  <si>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</si>
  <si>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</si>
  <si>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</si>
  <si>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</si>
  <si>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</si>
  <si>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</si>
  <si>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</si>
  <si>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</si>
  <si>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</si>
  <si>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</si>
  <si>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</si>
  <si>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</si>
  <si>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</si>
  <si>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</si>
  <si>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</si>
  <si>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</si>
  <si>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</si>
  <si>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</si>
  <si>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</si>
  <si>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</si>
  <si>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</si>
  <si>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</si>
  <si>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</si>
  <si>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</si>
  <si>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</si>
  <si>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</si>
  <si>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</si>
  <si>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</si>
  <si>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</si>
  <si>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</si>
  <si>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</si>
  <si>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</si>
  <si>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</si>
  <si>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</si>
  <si>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</si>
  <si>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</si>
  <si>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</si>
  <si>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</si>
  <si>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</si>
  <si>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</si>
  <si>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</si>
  <si>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</si>
  <si>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</si>
  <si>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</si>
  <si>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</si>
  <si>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</si>
  <si>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</si>
  <si>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</si>
  <si>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</si>
  <si>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</si>
  <si>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</si>
  <si>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</si>
  <si>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</si>
  <si>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</si>
  <si>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</si>
  <si>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</si>
  <si>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</si>
  <si>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</si>
  <si>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</si>
  <si>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</si>
  <si>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</si>
  <si>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</si>
  <si>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</si>
  <si>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</si>
  <si>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</si>
  <si>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</si>
  <si>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</si>
  <si>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</si>
  <si>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</si>
  <si>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</si>
  <si>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</si>
  <si>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</si>
  <si>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</si>
  <si>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</si>
  <si>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</si>
  <si>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</si>
  <si>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</si>
  <si>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</si>
  <si>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</si>
  <si>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</si>
  <si>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</si>
  <si>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</si>
  <si>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</si>
  <si>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</si>
  <si>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</si>
  <si>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</si>
  <si>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</si>
  <si>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</si>
  <si>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</si>
  <si>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</si>
  <si>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</si>
  <si>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</si>
  <si>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</si>
  <si>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</si>
  <si>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</si>
  <si>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</si>
  <si>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</si>
  <si>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</si>
  <si>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</si>
  <si>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</si>
  <si>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</si>
  <si>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</si>
  <si>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</si>
  <si>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</si>
  <si>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</si>
  <si>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</si>
  <si>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</si>
  <si>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</si>
  <si>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</si>
  <si>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</si>
  <si>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</si>
  <si>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</si>
  <si>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</si>
  <si>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</si>
  <si>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</si>
  <si>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</si>
  <si>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</si>
  <si>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</si>
  <si>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</si>
  <si>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</si>
  <si>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</si>
  <si>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</si>
  <si>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</si>
  <si>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</si>
  <si>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</si>
  <si>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</si>
  <si>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</si>
  <si>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</si>
  <si>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</si>
  <si>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</si>
  <si>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</si>
  <si>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</si>
  <si>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</si>
  <si>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</si>
  <si>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</si>
  <si>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</si>
  <si>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</si>
  <si>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</si>
  <si>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</si>
  <si>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</si>
  <si>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</si>
  <si>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</si>
  <si>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</si>
  <si>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</si>
  <si>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</si>
  <si>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</si>
  <si>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</si>
  <si>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</si>
  <si>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</si>
  <si>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</si>
  <si>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</si>
  <si>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</si>
  <si>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</si>
  <si>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</si>
  <si>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</si>
  <si>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</si>
  <si>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</si>
  <si>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</si>
  <si>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</si>
  <si>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</si>
  <si>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</si>
  <si>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</si>
  <si>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</si>
  <si>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</si>
  <si>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</si>
  <si>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</si>
  <si>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</si>
  <si>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</si>
  <si>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</si>
  <si>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</si>
  <si>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</si>
  <si>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</si>
  <si>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</si>
  <si>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</si>
  <si>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</si>
  <si>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</si>
  <si>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</si>
  <si>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</si>
  <si>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</si>
  <si>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</si>
  <si>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</si>
  <si>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</si>
  <si>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</si>
  <si>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</si>
  <si>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</si>
  <si>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</si>
  <si>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</si>
  <si>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</si>
  <si>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</si>
  <si>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</si>
  <si>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</si>
  <si>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</si>
  <si>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</si>
  <si>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</si>
  <si>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</si>
  <si>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</si>
  <si>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</si>
  <si>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</si>
  <si>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</si>
  <si>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</si>
  <si>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</si>
  <si>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</si>
  <si>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</si>
  <si>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</si>
  <si>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</si>
  <si>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</si>
  <si>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</si>
  <si>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</si>
  <si>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</si>
  <si>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</si>
  <si>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</si>
  <si>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</si>
  <si>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</si>
  <si>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</si>
  <si>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</si>
  <si>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</si>
  <si>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</si>
  <si>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</si>
  <si>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</si>
  <si>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</si>
  <si>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</si>
  <si>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</si>
  <si>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</si>
  <si>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</si>
  <si>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</si>
  <si>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</si>
  <si>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</si>
  <si>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</si>
  <si>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</si>
  <si>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</si>
  <si>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</si>
  <si>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</si>
  <si>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</si>
  <si>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</si>
  <si>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</si>
  <si>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</si>
  <si>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</si>
  <si>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</si>
  <si>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</si>
  <si>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</si>
  <si>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</si>
  <si>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</si>
  <si>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</si>
  <si>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</si>
  <si>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</si>
  <si>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</si>
  <si>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</si>
  <si>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</si>
  <si>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</si>
  <si>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</si>
  <si>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</si>
  <si>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</si>
  <si>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</si>
  <si>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</si>
  <si>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</si>
  <si>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</si>
  <si>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</si>
  <si>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</si>
  <si>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</si>
  <si>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</si>
  <si>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</si>
  <si>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</si>
  <si>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</si>
  <si>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</si>
  <si>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</si>
  <si>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</si>
  <si>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</si>
  <si>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</si>
  <si>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</si>
  <si>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</si>
  <si>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</si>
  <si>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</si>
  <si>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</si>
  <si>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</si>
  <si>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</si>
  <si>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</si>
  <si>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</si>
  <si>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</si>
  <si>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</si>
  <si>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</si>
  <si>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</si>
  <si>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</si>
  <si>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</si>
  <si>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</si>
  <si>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</si>
  <si>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</si>
  <si>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</si>
  <si>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</si>
  <si>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</si>
  <si>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</si>
  <si>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</si>
  <si>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</si>
  <si>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</si>
  <si>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</si>
  <si>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</si>
  <si>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</si>
  <si>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</si>
  <si>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</si>
  <si>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</si>
  <si>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</si>
  <si>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</si>
  <si>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</si>
  <si>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</si>
  <si>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</si>
  <si>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</si>
  <si>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</si>
  <si>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</si>
  <si>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</si>
  <si>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</si>
  <si>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</si>
  <si>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</si>
  <si>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</si>
  <si>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</si>
  <si>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</si>
  <si>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</si>
  <si>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</si>
  <si>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</si>
  <si>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</si>
  <si>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</si>
  <si>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</si>
  <si>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</si>
  <si>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</si>
  <si>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</si>
  <si>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</si>
  <si>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</si>
  <si>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</si>
  <si>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</si>
  <si>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</si>
  <si>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</si>
  <si>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</si>
  <si>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</si>
  <si>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</si>
  <si>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</si>
  <si>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</si>
  <si>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</si>
  <si>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</si>
  <si>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</si>
  <si>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</si>
  <si>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</si>
  <si>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</si>
  <si>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</si>
  <si>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</si>
  <si>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</si>
  <si>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</si>
  <si>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</si>
  <si>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</si>
  <si>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</si>
  <si>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</si>
  <si>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</si>
  <si>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</si>
  <si>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</si>
  <si>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</si>
  <si>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</si>
  <si>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</si>
  <si>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</si>
  <si>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</si>
  <si>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</si>
  <si>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</si>
  <si>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</si>
  <si>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</si>
  <si>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</si>
  <si>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</si>
  <si>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</si>
  <si>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</si>
  <si>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</si>
  <si>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</si>
  <si>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</si>
  <si>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</si>
  <si>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</si>
  <si>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</si>
  <si>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</si>
  <si>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</si>
  <si>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</si>
  <si>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</si>
  <si>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</si>
  <si>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</si>
  <si>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</si>
  <si>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</si>
  <si>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</si>
  <si>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</si>
  <si>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</si>
  <si>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</si>
  <si>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</si>
  <si>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</si>
  <si>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</si>
  <si>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</si>
  <si>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</si>
  <si>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</si>
  <si>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</si>
  <si>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</si>
  <si>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</si>
  <si>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</si>
  <si>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</si>
  <si>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</si>
  <si>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</si>
  <si>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</si>
  <si>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</si>
  <si>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</si>
  <si>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</si>
  <si>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</si>
  <si>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</si>
  <si>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</si>
  <si>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</si>
  <si>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</si>
  <si>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</si>
  <si>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</si>
  <si>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</si>
  <si>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</si>
  <si>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</si>
  <si>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</si>
  <si>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</si>
  <si>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</si>
  <si>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</si>
  <si>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</si>
  <si>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</si>
  <si>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</si>
  <si>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</si>
  <si>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</si>
  <si>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</si>
  <si>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</si>
  <si>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</si>
  <si>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</si>
  <si>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</si>
  <si>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</si>
  <si>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</si>
  <si>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</si>
  <si>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</si>
  <si>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</si>
  <si>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</si>
  <si>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</si>
  <si>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</si>
  <si>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</si>
  <si>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</si>
  <si>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</si>
  <si>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</si>
  <si>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</si>
  <si>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</si>
  <si>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</si>
  <si>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</si>
  <si>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</si>
  <si>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</si>
  <si>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</si>
  <si>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</si>
  <si>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</si>
  <si>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</si>
  <si>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</si>
  <si>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</si>
  <si>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</si>
  <si>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</si>
  <si>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</si>
  <si>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</si>
  <si>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</si>
  <si>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</si>
  <si>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</si>
  <si>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</si>
  <si>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</si>
  <si>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</si>
  <si>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</si>
  <si>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</si>
  <si>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</si>
  <si>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</si>
  <si>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</si>
  <si>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</si>
  <si>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</si>
  <si>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</si>
  <si>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</si>
  <si>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</si>
  <si>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</si>
  <si>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</si>
  <si>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</si>
  <si>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</si>
  <si>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</si>
  <si>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</si>
  <si>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</si>
  <si>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</si>
  <si>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</si>
  <si>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</si>
  <si>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</si>
  <si>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</si>
  <si>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</si>
  <si>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</si>
  <si>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</si>
  <si>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</si>
  <si>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</si>
  <si>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</si>
  <si>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</si>
  <si>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</si>
  <si>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</si>
  <si>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</si>
  <si>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</si>
  <si>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</si>
  <si>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</si>
  <si>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</si>
  <si>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</si>
  <si>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</si>
  <si>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</si>
  <si>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</si>
  <si>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</si>
  <si>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</si>
  <si>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</si>
  <si>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</si>
  <si>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</si>
  <si>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</si>
  <si>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</si>
  <si>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</si>
  <si>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</si>
  <si>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</si>
  <si>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</si>
  <si>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</si>
  <si>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</si>
  <si>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</si>
  <si>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</si>
  <si>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</si>
  <si>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</si>
  <si>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</si>
  <si>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</si>
  <si>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</si>
  <si>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</si>
  <si>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</si>
  <si>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</si>
  <si>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</si>
  <si>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</si>
  <si>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</si>
  <si>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</si>
  <si>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</si>
  <si>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</si>
  <si>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</si>
  <si>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</si>
  <si>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</si>
  <si>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</si>
  <si>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</si>
  <si>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</si>
  <si>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</si>
  <si>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</si>
  <si>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</si>
  <si>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</si>
  <si>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</si>
  <si>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</si>
  <si>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</si>
  <si>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</si>
  <si>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</si>
  <si>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</si>
  <si>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</si>
  <si>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</si>
  <si>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</si>
  <si>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</si>
  <si>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</si>
  <si>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</si>
  <si>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</si>
  <si>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</si>
  <si>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</si>
  <si>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</si>
  <si>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</si>
  <si>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</si>
  <si>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</si>
  <si>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</si>
  <si>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</si>
  <si>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</si>
  <si>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</si>
  <si>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</si>
  <si>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</si>
  <si>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</si>
  <si>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</si>
  <si>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</si>
  <si>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</si>
  <si>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</si>
  <si>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</si>
  <si>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</si>
  <si>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</si>
  <si>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</si>
  <si>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</si>
  <si>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</si>
  <si>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</si>
  <si>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</si>
  <si>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</si>
  <si>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</si>
  <si>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</si>
  <si>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</si>
  <si>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</si>
  <si>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</si>
  <si>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</si>
  <si>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</si>
  <si>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</si>
  <si>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</si>
  <si>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</si>
  <si>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</si>
  <si>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</si>
  <si>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</si>
  <si>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</si>
  <si>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</si>
  <si>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</si>
  <si>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</si>
  <si>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</si>
  <si>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</si>
  <si>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</si>
  <si>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</si>
  <si>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</si>
  <si>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</si>
  <si>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</si>
  <si>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</si>
  <si>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</si>
  <si>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</si>
  <si>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</si>
  <si>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</si>
  <si>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</si>
  <si>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</si>
  <si>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</si>
  <si>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</si>
  <si>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</si>
  <si>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</si>
  <si>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</si>
  <si>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</si>
  <si>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</si>
  <si>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</si>
  <si>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</si>
  <si>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</si>
  <si>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</si>
  <si>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</si>
  <si>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</si>
  <si>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</si>
  <si>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</si>
  <si>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</si>
  <si>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</si>
  <si>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</si>
  <si>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</si>
  <si>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</si>
  <si>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</si>
  <si>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</si>
  <si>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</si>
  <si>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</si>
  <si>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</si>
  <si>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</si>
  <si>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</si>
  <si>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</si>
  <si>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</si>
  <si>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</si>
  <si>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</si>
  <si>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</si>
  <si>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</si>
  <si>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</si>
  <si>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</si>
  <si>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</si>
  <si>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</si>
  <si>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</si>
  <si>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</si>
  <si>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</si>
  <si>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</si>
  <si>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</si>
  <si>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</si>
  <si>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</si>
  <si>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</si>
  <si>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</si>
  <si>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</si>
  <si>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</si>
  <si>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</si>
  <si>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</si>
  <si>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</si>
  <si>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</si>
  <si>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</si>
  <si>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</si>
  <si>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</si>
  <si>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</si>
  <si>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</si>
  <si>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</si>
  <si>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</si>
  <si>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</si>
  <si>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</si>
  <si>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</si>
  <si>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</si>
  <si>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</si>
  <si>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</si>
  <si>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</si>
  <si>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</si>
  <si>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</si>
  <si>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</si>
  <si>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</si>
  <si>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</si>
  <si>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</si>
  <si>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</si>
  <si>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</si>
  <si>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</si>
  <si>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</si>
  <si>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</si>
  <si>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</si>
  <si>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</si>
  <si>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</si>
  <si>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</si>
  <si>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</si>
  <si>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</si>
  <si>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</si>
  <si>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</si>
  <si>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</si>
  <si>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</si>
  <si>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</si>
  <si>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</si>
  <si>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</si>
  <si>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</si>
  <si>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</si>
  <si>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</si>
  <si>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</si>
  <si>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</si>
  <si>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</si>
  <si>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</si>
  <si>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</si>
  <si>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</si>
  <si>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</si>
  <si>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</si>
  <si>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</si>
  <si>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</si>
  <si>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</si>
  <si>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</si>
  <si>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</si>
  <si>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</si>
  <si>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</si>
  <si>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</si>
  <si>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</si>
  <si>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</si>
  <si>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</si>
  <si>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</si>
  <si>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</si>
  <si>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</si>
  <si>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</si>
  <si>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</si>
  <si>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</si>
  <si>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</si>
  <si>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</si>
  <si>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</si>
  <si>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</si>
  <si>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</si>
  <si>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</si>
  <si>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</si>
  <si>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</si>
  <si>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</si>
  <si>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</si>
  <si>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</si>
  <si>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</si>
  <si>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</si>
  <si>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</si>
  <si>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</si>
  <si>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</si>
  <si>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</si>
  <si>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</si>
  <si>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</si>
  <si>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</si>
  <si>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</si>
  <si>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</si>
  <si>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</si>
  <si>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</si>
  <si>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</si>
  <si>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</si>
  <si>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</si>
  <si>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</si>
  <si>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</si>
  <si>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</si>
  <si>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</si>
  <si>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</si>
  <si>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</si>
  <si>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</si>
  <si>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</si>
  <si>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</si>
  <si>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</si>
  <si>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</si>
  <si>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</si>
  <si>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</si>
  <si>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</si>
  <si>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</si>
  <si>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</si>
  <si>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</si>
  <si>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</si>
  <si>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</si>
  <si>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</si>
  <si>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</si>
  <si>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</si>
  <si>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</si>
  <si>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</si>
  <si>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</si>
  <si>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</si>
  <si>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</si>
  <si>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</si>
  <si>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</si>
  <si>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</si>
  <si>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</si>
  <si>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</si>
  <si>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</si>
  <si>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</si>
  <si>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</si>
  <si>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</si>
  <si>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</si>
  <si>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</si>
  <si>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</si>
  <si>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</si>
  <si>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</si>
  <si>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</si>
  <si>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</si>
  <si>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</si>
  <si>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</si>
  <si>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</si>
  <si>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</si>
  <si>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</si>
  <si>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</si>
  <si>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</si>
  <si>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</si>
  <si>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</si>
  <si>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</si>
  <si>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</si>
  <si>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</si>
  <si>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</si>
  <si>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</si>
  <si>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</si>
  <si>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</si>
  <si>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</si>
  <si>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</si>
  <si>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</si>
  <si>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</si>
  <si>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</si>
  <si>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</si>
  <si>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</si>
  <si>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</si>
  <si>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</si>
  <si>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</si>
  <si>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</si>
  <si>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</si>
  <si>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</si>
  <si>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</si>
  <si>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</si>
  <si>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</si>
  <si>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</si>
  <si>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</si>
  <si>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</si>
  <si>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</si>
  <si>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</si>
  <si>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</si>
  <si>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</si>
  <si>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</si>
  <si>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</si>
  <si>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</si>
  <si>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</si>
  <si>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</si>
  <si>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</si>
  <si>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</si>
  <si>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</si>
  <si>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</si>
  <si>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</si>
  <si>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</si>
  <si>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</si>
  <si>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</si>
  <si>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</si>
  <si>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</si>
  <si>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</si>
  <si>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</si>
  <si>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</si>
  <si>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</si>
  <si>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</si>
  <si>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</si>
  <si>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</si>
  <si>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</si>
  <si>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</si>
  <si>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</si>
  <si>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</si>
  <si>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</si>
  <si>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</si>
  <si>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</si>
  <si>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</si>
  <si>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</si>
  <si>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</si>
  <si>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</si>
  <si>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</si>
  <si>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</si>
  <si>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</si>
  <si>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</si>
  <si>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</si>
  <si>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</si>
  <si>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</si>
  <si>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</si>
  <si>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</si>
  <si>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</si>
  <si>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</si>
  <si>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</si>
  <si>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</si>
  <si>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</si>
  <si>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</si>
  <si>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</si>
  <si>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</si>
  <si>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</si>
  <si>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</si>
  <si>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</si>
  <si>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</si>
  <si>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</si>
  <si>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</si>
  <si>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</si>
  <si>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</si>
  <si>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</si>
  <si>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</si>
  <si>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</si>
  <si>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</si>
  <si>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</si>
  <si>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</si>
  <si>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</si>
  <si>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</si>
  <si>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</si>
  <si>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</si>
  <si>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</si>
  <si>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</si>
  <si>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</si>
  <si>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</si>
  <si>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</si>
  <si>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</si>
  <si>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</si>
  <si>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</si>
  <si>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</si>
  <si>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</si>
  <si>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</si>
  <si>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</si>
  <si>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</si>
  <si>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</si>
  <si>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</si>
  <si>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</si>
  <si>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</si>
  <si>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</si>
  <si>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</si>
  <si>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</si>
  <si>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</si>
  <si>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</si>
  <si>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</si>
  <si>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</si>
  <si>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</si>
  <si>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</si>
  <si>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</si>
  <si>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</si>
  <si>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</si>
  <si>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</si>
  <si>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</si>
  <si>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</si>
  <si>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</si>
  <si>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</si>
  <si>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</si>
  <si>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</si>
  <si>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</si>
  <si>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</si>
  <si>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</si>
  <si>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</si>
  <si>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</si>
  <si>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</si>
  <si>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</si>
  <si>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</si>
  <si>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</si>
  <si>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</si>
  <si>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</si>
  <si>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</si>
  <si>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</si>
  <si>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</si>
  <si>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</si>
  <si>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</si>
  <si>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</si>
  <si>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</si>
  <si>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</si>
  <si>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</si>
  <si>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</si>
  <si>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</si>
  <si>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</si>
  <si>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</si>
  <si>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</si>
  <si>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</si>
  <si>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</si>
  <si>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</si>
  <si>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</si>
  <si>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</si>
  <si>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</si>
  <si>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</si>
  <si>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</si>
  <si>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</si>
  <si>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</si>
  <si>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</si>
  <si>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</si>
  <si>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</si>
  <si>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</si>
  <si>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</si>
  <si>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</si>
  <si>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</si>
  <si>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</si>
  <si>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</si>
  <si>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</si>
  <si>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</si>
  <si>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</si>
  <si>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</si>
  <si>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</si>
  <si>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</si>
  <si>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</si>
  <si>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</si>
  <si>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</si>
  <si>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</si>
  <si>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</si>
  <si>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</si>
  <si>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</si>
  <si>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</si>
  <si>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</si>
  <si>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</si>
  <si>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</si>
  <si>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</si>
  <si>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</si>
  <si>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</si>
  <si>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</si>
  <si>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</si>
  <si>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</si>
  <si>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</si>
  <si>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</si>
  <si>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</si>
  <si>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</si>
  <si>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</si>
  <si>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</si>
  <si>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</si>
  <si>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</si>
  <si>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</si>
  <si>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</si>
  <si>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</si>
  <si>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</si>
  <si>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</si>
  <si>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</si>
  <si>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</si>
  <si>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</si>
  <si>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</si>
  <si>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</si>
  <si>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</si>
  <si>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</si>
  <si>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</si>
  <si>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</si>
  <si>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</si>
  <si>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</si>
  <si>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</si>
  <si>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</si>
  <si>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</si>
  <si>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</si>
  <si>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</si>
  <si>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</si>
  <si>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</si>
  <si>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</si>
  <si>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</si>
  <si>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</si>
  <si>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</si>
  <si>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</si>
  <si>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</si>
  <si>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</si>
  <si>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</si>
  <si>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</si>
  <si>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</si>
  <si>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</si>
  <si>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</si>
  <si>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</si>
  <si>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</si>
  <si>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</si>
  <si>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</si>
  <si>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</si>
  <si>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</si>
  <si>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</si>
  <si>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</si>
  <si>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</si>
  <si>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</si>
  <si>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</si>
  <si>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</si>
  <si>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</si>
  <si>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</si>
  <si>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</si>
  <si>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</si>
  <si>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</si>
  <si>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</si>
  <si>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</si>
  <si>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</si>
  <si>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</si>
  <si>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</si>
  <si>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</si>
  <si>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</si>
  <si>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</si>
  <si>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</si>
  <si>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</si>
  <si>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</si>
  <si>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</si>
  <si>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</si>
  <si>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</si>
  <si>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</si>
  <si>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</si>
  <si>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</si>
  <si>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</si>
  <si>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</si>
  <si>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</si>
  <si>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</si>
  <si>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</si>
  <si>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</si>
  <si>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</si>
  <si>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</si>
  <si>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</si>
  <si>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</si>
  <si>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</si>
  <si>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</si>
  <si>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</si>
  <si>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</si>
  <si>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</si>
  <si>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</si>
  <si>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</si>
  <si>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</si>
  <si>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</si>
  <si>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</si>
  <si>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</si>
  <si>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</si>
  <si>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</si>
  <si>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</si>
  <si>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</si>
  <si>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</si>
  <si>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</si>
  <si>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</si>
  <si>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</si>
  <si>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</si>
  <si>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</si>
  <si>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</si>
  <si>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</si>
  <si>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</si>
  <si>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</si>
  <si>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</si>
  <si>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</si>
  <si>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</si>
  <si>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</si>
  <si>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</si>
  <si>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</si>
  <si>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</si>
  <si>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</si>
  <si>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</si>
  <si>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</si>
  <si>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</si>
  <si>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</si>
  <si>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</si>
  <si>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</si>
  <si>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</si>
  <si>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</si>
  <si>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</si>
  <si>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</si>
  <si>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</si>
  <si>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</si>
  <si>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</si>
  <si>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</si>
  <si>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</si>
  <si>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</si>
  <si>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</si>
  <si>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</si>
  <si>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</si>
  <si>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</si>
  <si>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</si>
  <si>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</si>
  <si>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</si>
  <si>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</si>
  <si>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</si>
  <si>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</si>
  <si>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</si>
  <si>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</si>
  <si>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</si>
  <si>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</si>
  <si>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</si>
  <si>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</si>
  <si>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</si>
  <si>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</si>
  <si>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</si>
  <si>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</si>
  <si>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</si>
  <si>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</si>
  <si>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</si>
  <si>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</si>
  <si>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</si>
  <si>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</si>
  <si>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</si>
  <si>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</si>
  <si>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</si>
  <si>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</si>
  <si>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</si>
  <si>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</si>
  <si>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</si>
  <si>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</si>
  <si>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</si>
  <si>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</si>
  <si>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</si>
  <si>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</si>
  <si>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</si>
  <si>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</si>
  <si>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</si>
  <si>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</si>
  <si>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</si>
  <si>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</si>
  <si>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</si>
  <si>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</si>
  <si>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</si>
  <si>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</si>
  <si>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</si>
  <si>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</si>
  <si>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</si>
  <si>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</si>
  <si>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</si>
  <si>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</si>
  <si>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</si>
  <si>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</si>
  <si>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</si>
  <si>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</si>
  <si>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</si>
  <si>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</si>
  <si>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</si>
  <si>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</si>
  <si>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</si>
  <si>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</si>
  <si>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</si>
  <si>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</si>
  <si>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</si>
  <si>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</si>
  <si>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</si>
  <si>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</si>
  <si>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</si>
  <si>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</si>
  <si>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</si>
  <si>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</si>
  <si>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</si>
  <si>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</si>
  <si>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</si>
  <si>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</si>
  <si>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</si>
  <si>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</si>
  <si>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</si>
  <si>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</si>
  <si>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</si>
  <si>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</si>
  <si>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</si>
  <si>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</si>
  <si>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</si>
  <si>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</si>
  <si>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</si>
  <si>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</si>
  <si>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</si>
  <si>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</si>
  <si>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</si>
  <si>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</si>
  <si>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</si>
  <si>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</si>
  <si>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</si>
  <si>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</si>
  <si>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</si>
  <si>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</si>
  <si>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</si>
  <si>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</si>
  <si>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</si>
  <si>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</si>
  <si>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</si>
  <si>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</si>
  <si>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</si>
  <si>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</si>
  <si>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</si>
  <si>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</si>
  <si>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</si>
  <si>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</si>
  <si>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</si>
  <si>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</si>
  <si>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</si>
  <si>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</si>
  <si>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</si>
  <si>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</si>
  <si>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</si>
  <si>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</si>
  <si>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</si>
  <si>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</si>
  <si>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</si>
  <si>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</si>
  <si>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</si>
  <si>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</si>
  <si>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</si>
  <si>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</si>
  <si>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</si>
  <si>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</si>
  <si>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</si>
  <si>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</si>
  <si>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</si>
  <si>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</si>
  <si>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</si>
  <si>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</si>
  <si>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</si>
  <si>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</si>
  <si>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</si>
  <si>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</si>
  <si>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</si>
  <si>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</si>
  <si>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</si>
  <si>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</si>
  <si>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</si>
  <si>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</si>
  <si>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</si>
  <si>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</si>
  <si>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</si>
  <si>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</si>
  <si>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</si>
  <si>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</si>
  <si>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</si>
  <si>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</si>
  <si>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</si>
  <si>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</si>
  <si>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</si>
  <si>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</si>
  <si>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</si>
  <si>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</si>
  <si>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</si>
  <si>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</si>
  <si>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</si>
  <si>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</si>
  <si>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</si>
  <si>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</si>
  <si>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</si>
  <si>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</si>
  <si>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</si>
  <si>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</si>
  <si>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</si>
  <si>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</si>
  <si>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</si>
  <si>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</si>
  <si>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</si>
  <si>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</si>
  <si>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</si>
  <si>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</si>
  <si>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</si>
  <si>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</si>
  <si>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</si>
  <si>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</si>
  <si>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</si>
  <si>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</si>
  <si>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</si>
  <si>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</si>
  <si>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</si>
  <si>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</si>
  <si>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</si>
  <si>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</si>
  <si>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</si>
  <si>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</si>
  <si>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</si>
  <si>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</si>
  <si>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</si>
  <si>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</si>
  <si>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</si>
  <si>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</si>
  <si>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</si>
  <si>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</si>
  <si>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</si>
  <si>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</si>
  <si>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</si>
  <si>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</si>
  <si>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</si>
  <si>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</si>
  <si>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</si>
  <si>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</si>
  <si>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</si>
  <si>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</si>
  <si>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</si>
  <si>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</si>
  <si>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</si>
  <si>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</si>
  <si>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</si>
  <si>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</si>
  <si>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</si>
  <si>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</si>
  <si>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</si>
  <si>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</si>
  <si>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</si>
  <si>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</si>
  <si>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</si>
  <si>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</si>
  <si>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</si>
  <si>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</si>
  <si>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</si>
  <si>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</si>
  <si>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</si>
  <si>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</si>
  <si>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</si>
  <si>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</si>
  <si>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</si>
  <si>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</si>
  <si>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</si>
  <si>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</si>
  <si>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</si>
  <si>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</si>
  <si>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</si>
  <si>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</si>
  <si>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</si>
  <si>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</si>
  <si>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</si>
  <si>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</si>
  <si>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</si>
  <si>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</si>
  <si>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</si>
  <si>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</si>
  <si>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</si>
  <si>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</si>
  <si>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</si>
  <si>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</si>
  <si>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</si>
  <si>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</si>
  <si>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</si>
  <si>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</si>
  <si>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</si>
  <si>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</si>
  <si>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</si>
  <si>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</si>
  <si>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</si>
  <si>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</si>
  <si>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</si>
  <si>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</si>
  <si>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</si>
  <si>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</si>
  <si>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</si>
  <si>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</si>
  <si>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</si>
  <si>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</si>
  <si>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</si>
  <si>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</si>
  <si>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</si>
  <si>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</si>
  <si>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</si>
  <si>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</si>
  <si>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</si>
  <si>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</si>
  <si>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</si>
  <si>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</si>
  <si>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</si>
  <si>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</si>
  <si>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</si>
  <si>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</si>
  <si>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</si>
  <si>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</si>
  <si>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</si>
  <si>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</si>
  <si>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</si>
  <si>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</si>
  <si>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</si>
  <si>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</si>
  <si>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</si>
  <si>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</si>
  <si>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</si>
  <si>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</si>
  <si>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</si>
  <si>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</si>
  <si>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</si>
  <si>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</si>
  <si>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</si>
  <si>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</si>
  <si>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</si>
  <si>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</si>
  <si>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</si>
  <si>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</si>
  <si>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</si>
  <si>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</si>
  <si>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</si>
  <si>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</si>
  <si>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</si>
  <si>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</si>
  <si>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</si>
  <si>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</si>
  <si>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</si>
  <si>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</si>
  <si>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</si>
  <si>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</si>
  <si>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</si>
  <si>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</si>
  <si>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</si>
  <si>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</si>
  <si>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</si>
  <si>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</si>
  <si>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</si>
  <si>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</si>
  <si>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</si>
  <si>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</si>
  <si>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</si>
  <si>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</si>
  <si>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</si>
  <si>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</si>
  <si>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</si>
  <si>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</si>
  <si>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</si>
  <si>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</si>
  <si>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</si>
  <si>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</si>
  <si>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</si>
  <si>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</si>
  <si>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</si>
  <si>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</si>
  <si>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</si>
  <si>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</si>
  <si>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</si>
  <si>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</si>
  <si>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</si>
  <si>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</si>
  <si>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</si>
  <si>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</si>
  <si>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</si>
  <si>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</si>
  <si>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</si>
  <si>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</si>
  <si>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</si>
  <si>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</si>
  <si>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</si>
  <si>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</si>
  <si>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</si>
  <si>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</si>
  <si>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</si>
  <si>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</si>
  <si>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</si>
  <si>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</si>
  <si>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</si>
  <si>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</si>
  <si>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</si>
  <si>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</si>
  <si>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</si>
  <si>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</si>
  <si>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</si>
  <si>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</si>
  <si>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</si>
  <si>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</si>
  <si>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</si>
  <si>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</si>
  <si>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</si>
  <si>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</si>
  <si>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</si>
  <si>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</si>
  <si>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</si>
  <si>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</si>
  <si>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</si>
  <si>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</si>
  <si>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</si>
  <si>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</si>
  <si>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</si>
  <si>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</si>
  <si>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</si>
  <si>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</si>
  <si>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</si>
  <si>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</si>
  <si>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</si>
  <si>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</si>
  <si>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</si>
  <si>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</si>
  <si>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</si>
  <si>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</si>
  <si>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</si>
  <si>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</si>
  <si>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</si>
  <si>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</si>
  <si>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</si>
  <si>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</si>
  <si>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</si>
  <si>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</si>
  <si>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</si>
  <si>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</si>
  <si>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</si>
  <si>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</si>
  <si>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</si>
  <si>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</si>
  <si>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</si>
  <si>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</si>
  <si>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</si>
  <si>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</si>
  <si>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</si>
  <si>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</si>
  <si>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</si>
  <si>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</si>
  <si>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</si>
  <si>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</si>
  <si>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</si>
  <si>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</si>
  <si>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</si>
  <si>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</si>
  <si>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</si>
  <si>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</si>
  <si>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</si>
  <si>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</si>
  <si>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</si>
  <si>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</si>
  <si>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</si>
  <si>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</si>
  <si>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</si>
  <si>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</si>
  <si>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</si>
  <si>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</si>
  <si>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</si>
  <si>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</si>
  <si>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</si>
  <si>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</si>
  <si>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</si>
  <si>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</si>
  <si>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</si>
  <si>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</si>
  <si>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</si>
  <si>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</si>
  <si>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</si>
  <si>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</si>
  <si>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</si>
  <si>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</si>
  <si>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</si>
  <si>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</si>
  <si>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</si>
  <si>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</si>
  <si>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</si>
  <si>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</si>
  <si>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</si>
  <si>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</si>
  <si>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</si>
  <si>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</si>
  <si>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</si>
  <si>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</si>
  <si>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</si>
  <si>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</si>
  <si>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</si>
  <si>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</si>
  <si>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</si>
  <si>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</si>
  <si>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</si>
  <si>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</si>
  <si>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</si>
  <si>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</si>
  <si>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</si>
  <si>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</si>
  <si>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</si>
  <si>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</si>
  <si>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</si>
  <si>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</si>
  <si>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</si>
  <si>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</si>
  <si>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</si>
  <si>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</si>
  <si>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</si>
  <si>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</si>
  <si>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</si>
  <si>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</si>
  <si>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</si>
  <si>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</si>
  <si>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</si>
  <si>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</si>
  <si>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</si>
  <si>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</si>
  <si>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</si>
  <si>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</si>
  <si>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</si>
  <si>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</si>
  <si>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</si>
  <si>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</si>
  <si>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</si>
  <si>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</si>
  <si>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</si>
  <si>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</si>
  <si>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</si>
  <si>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</si>
  <si>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</si>
  <si>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</si>
  <si>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</si>
  <si>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</si>
  <si>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</si>
  <si>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</si>
  <si>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</si>
  <si>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</si>
  <si>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</si>
  <si>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</si>
  <si>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</si>
  <si>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</si>
  <si>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</si>
  <si>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</si>
  <si>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</si>
  <si>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</si>
  <si>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</si>
  <si>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</si>
  <si>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</si>
  <si>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</si>
  <si>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</si>
  <si>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</si>
  <si>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</si>
  <si>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</si>
  <si>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</si>
  <si>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</si>
  <si>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</si>
  <si>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</si>
  <si>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</si>
  <si>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</si>
  <si>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</si>
  <si>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</si>
  <si>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</si>
  <si>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</si>
  <si>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</si>
  <si>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</si>
  <si>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</si>
  <si>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</si>
  <si>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</si>
  <si>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</si>
  <si>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</si>
  <si>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</si>
  <si>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</si>
  <si>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</si>
  <si>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</si>
  <si>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</si>
  <si>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</si>
  <si>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</si>
  <si>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</si>
  <si>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</si>
  <si>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</si>
  <si>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</si>
  <si>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</si>
  <si>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</si>
  <si>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</si>
  <si>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</si>
  <si>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</si>
  <si>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</si>
  <si>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</si>
  <si>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</si>
  <si>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</si>
  <si>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</si>
  <si>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</si>
  <si>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</si>
  <si>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</si>
  <si>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</si>
  <si>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</si>
  <si>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</si>
  <si>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</si>
  <si>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</si>
  <si>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</si>
  <si>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</si>
  <si>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</si>
  <si>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</si>
  <si>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</si>
  <si>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</si>
  <si>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</si>
  <si>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</si>
  <si>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</si>
  <si>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</si>
  <si>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</si>
  <si>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</si>
  <si>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</si>
  <si>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</si>
  <si>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</si>
  <si>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</si>
  <si>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</si>
  <si>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</si>
  <si>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</si>
  <si>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</si>
  <si>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</si>
  <si>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</si>
  <si>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</si>
  <si>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</si>
  <si>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</si>
  <si>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</si>
  <si>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</si>
  <si>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</si>
  <si>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</si>
  <si>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</si>
  <si>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</si>
  <si>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</si>
  <si>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</si>
  <si>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</si>
  <si>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</si>
  <si>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</si>
  <si>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</si>
  <si>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</si>
  <si>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</si>
  <si>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</si>
  <si>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</si>
  <si>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</si>
  <si>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</si>
  <si>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</si>
  <si>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</si>
  <si>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</si>
  <si>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</si>
  <si>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</si>
  <si>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</si>
  <si>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</si>
  <si>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</si>
  <si>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</si>
  <si>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</si>
  <si>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</si>
  <si>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</si>
  <si>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</si>
  <si>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</si>
  <si>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</si>
  <si>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</si>
  <si>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</si>
  <si>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</si>
  <si>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</si>
  <si>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</si>
  <si>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</si>
  <si>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</si>
  <si>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</si>
  <si>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</si>
  <si>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</si>
  <si>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</si>
  <si>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</si>
  <si>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</si>
  <si>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</si>
  <si>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</si>
  <si>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</si>
  <si>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</si>
  <si>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</si>
  <si>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</si>
  <si>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</si>
  <si>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</si>
  <si>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</si>
  <si>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</si>
  <si>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</si>
  <si>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</si>
  <si>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</si>
  <si>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</si>
  <si>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</si>
  <si>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</si>
  <si>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</si>
  <si>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</si>
  <si>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</si>
  <si>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</si>
  <si>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</si>
  <si>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</si>
  <si>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</si>
  <si>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</si>
  <si>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</si>
  <si>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</si>
  <si>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</si>
  <si>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</si>
  <si>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</si>
  <si>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</si>
  <si>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</si>
  <si>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</si>
  <si>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</si>
  <si>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</si>
  <si>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</si>
  <si>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</si>
  <si>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</si>
  <si>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</si>
  <si>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</si>
  <si>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</si>
  <si>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</si>
  <si>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</si>
  <si>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</si>
  <si>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</si>
  <si>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</si>
  <si>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</si>
  <si>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</si>
  <si>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</si>
  <si>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</si>
  <si>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</si>
  <si>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</si>
  <si>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</si>
  <si>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</si>
  <si>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</si>
  <si>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</si>
  <si>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</si>
  <si>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</si>
  <si>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</si>
  <si>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</si>
  <si>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</si>
  <si>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</si>
  <si>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</si>
  <si>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</si>
  <si>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</si>
  <si>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</si>
  <si>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</si>
  <si>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</si>
  <si>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</si>
  <si>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</si>
  <si>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</si>
  <si>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</si>
  <si>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</si>
  <si>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</si>
  <si>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</si>
  <si>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</si>
  <si>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</si>
  <si>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</si>
  <si>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</si>
  <si>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</si>
  <si>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</si>
  <si>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</si>
  <si>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</si>
  <si>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</si>
  <si>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</si>
  <si>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</si>
  <si>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</si>
  <si>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</si>
  <si>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</si>
  <si>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</si>
  <si>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</si>
  <si>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</si>
  <si>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</si>
  <si>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</si>
  <si>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</si>
  <si>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</si>
  <si>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</si>
  <si>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</si>
  <si>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</si>
  <si>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</si>
  <si>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</si>
  <si>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</si>
  <si>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</si>
  <si>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</si>
  <si>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</si>
  <si>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</si>
  <si>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</si>
  <si>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</si>
  <si>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</si>
  <si>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</si>
  <si>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</si>
  <si>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</si>
  <si>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</si>
  <si>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</si>
  <si>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</si>
  <si>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</si>
  <si>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</si>
  <si>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</si>
  <si>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</si>
  <si>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</si>
  <si>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</si>
  <si>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</si>
  <si>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</si>
  <si>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</si>
  <si>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</si>
  <si>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</si>
  <si>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</si>
  <si>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</si>
  <si>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</si>
  <si>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</si>
  <si>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</si>
  <si>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</si>
  <si>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</si>
  <si>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</si>
  <si>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</si>
  <si>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</si>
  <si>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</si>
  <si>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</si>
  <si>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</si>
  <si>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</si>
  <si>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</si>
  <si>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</si>
  <si>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</si>
  <si>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</si>
  <si>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</si>
  <si>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</si>
  <si>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</si>
  <si>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</si>
  <si>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</si>
  <si>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</si>
  <si>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</si>
  <si>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</si>
  <si>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</si>
  <si>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</si>
  <si>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</si>
  <si>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</si>
  <si>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</si>
  <si>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</si>
  <si>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</si>
  <si>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</si>
  <si>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</si>
  <si>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</si>
  <si>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</si>
  <si>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</si>
  <si>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</si>
  <si>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</si>
  <si>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</si>
  <si>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</si>
  <si>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</si>
  <si>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</si>
  <si>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</si>
  <si>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</si>
  <si>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</si>
  <si>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</si>
  <si>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</si>
  <si>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</si>
  <si>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</si>
  <si>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</si>
  <si>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</si>
  <si>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</si>
  <si>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</si>
  <si>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</si>
  <si>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</si>
  <si>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</si>
  <si>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</si>
  <si>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</si>
  <si>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</si>
  <si>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</si>
  <si>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</si>
  <si>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</si>
  <si>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</si>
  <si>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</si>
  <si>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</si>
  <si>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</si>
  <si>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</si>
  <si>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</si>
  <si>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</si>
  <si>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</si>
  <si>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</si>
  <si>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</si>
  <si>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</si>
  <si>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</si>
  <si>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</si>
  <si>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</si>
  <si>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</si>
  <si>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</si>
  <si>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</si>
  <si>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</si>
  <si>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</si>
  <si>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</si>
  <si>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</si>
  <si>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</si>
  <si>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</si>
  <si>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</si>
  <si>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</si>
  <si>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</si>
  <si>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</si>
  <si>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</si>
  <si>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</si>
  <si>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</si>
  <si>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</si>
  <si>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</si>
  <si>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</si>
  <si>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</si>
  <si>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</si>
  <si>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</si>
  <si>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</si>
  <si>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</si>
  <si>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</si>
  <si>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</si>
  <si>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</si>
  <si>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</si>
  <si>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</si>
  <si>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</si>
  <si>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</si>
  <si>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</si>
  <si>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</si>
  <si>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</si>
  <si>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</si>
  <si>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</si>
  <si>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</si>
  <si>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</si>
  <si>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</si>
  <si>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</si>
  <si>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</si>
  <si>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</si>
  <si>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</si>
  <si>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</si>
  <si>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</si>
  <si>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</si>
  <si>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</si>
  <si>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</si>
  <si>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</si>
  <si>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</si>
  <si>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</si>
  <si>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</si>
  <si>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</si>
  <si>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</si>
  <si>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</si>
  <si>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</si>
  <si>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</si>
  <si>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</si>
  <si>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</si>
  <si>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</si>
  <si>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</si>
  <si>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</si>
  <si>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</si>
  <si>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</si>
  <si>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</si>
  <si>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</si>
  <si>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</si>
  <si>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</si>
  <si>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</si>
  <si>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</si>
  <si>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</si>
  <si>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</si>
  <si>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</si>
  <si>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</si>
  <si>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</si>
  <si>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</si>
  <si>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</si>
  <si>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</si>
  <si>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</si>
  <si>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</si>
  <si>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</si>
  <si>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</si>
  <si>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</si>
  <si>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</si>
  <si>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</si>
  <si>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</si>
  <si>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</si>
  <si>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</si>
  <si>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</si>
  <si>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</si>
  <si>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</si>
  <si>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</si>
  <si>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</si>
  <si>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</si>
  <si>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</si>
  <si>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</si>
  <si>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</si>
  <si>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</si>
  <si>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</si>
  <si>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</si>
  <si>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</si>
  <si>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</si>
  <si>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</si>
  <si>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</si>
  <si>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</si>
  <si>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</si>
  <si>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</si>
  <si>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</si>
  <si>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</si>
  <si>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</si>
  <si>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</si>
  <si>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</si>
  <si>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</si>
  <si>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</si>
  <si>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</si>
  <si>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</si>
  <si>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</si>
  <si>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</si>
  <si>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</si>
  <si>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</si>
  <si>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</si>
  <si>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</si>
  <si>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</si>
  <si>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</si>
  <si>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</si>
  <si>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</si>
  <si>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</si>
  <si>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</si>
  <si>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</si>
  <si>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</si>
  <si>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</si>
  <si>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</si>
  <si>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</si>
  <si>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</si>
  <si>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</si>
  <si>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</si>
  <si>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</si>
  <si>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</si>
  <si>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</si>
  <si>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</si>
  <si>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</si>
  <si>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</si>
  <si>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</si>
  <si>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</si>
  <si>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</si>
  <si>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</si>
  <si>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</si>
  <si>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</si>
  <si>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</si>
  <si>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</si>
  <si>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</si>
  <si>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</si>
  <si>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</si>
  <si>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</si>
  <si>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</si>
  <si>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</si>
  <si>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</si>
  <si>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</si>
  <si>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</si>
  <si>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</si>
  <si>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</si>
  <si>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</si>
  <si>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</si>
  <si>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</si>
  <si>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</si>
  <si>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</si>
  <si>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</si>
  <si>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</si>
  <si>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</si>
  <si>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</si>
  <si>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</si>
  <si>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</si>
  <si>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</si>
  <si>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</si>
  <si>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</si>
  <si>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</si>
  <si>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</si>
  <si>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</si>
  <si>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</si>
  <si>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</si>
  <si>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</si>
  <si>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</si>
  <si>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</si>
  <si>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</si>
  <si>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</si>
  <si>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</si>
  <si>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</si>
  <si>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</si>
  <si>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</si>
  <si>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</si>
  <si>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</si>
  <si>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</si>
  <si>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</si>
  <si>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</si>
  <si>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</si>
  <si>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</si>
  <si>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</si>
  <si>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</si>
  <si>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</si>
  <si>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</si>
  <si>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</si>
  <si>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</si>
  <si>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</si>
  <si>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</si>
  <si>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</si>
  <si>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</si>
  <si>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</si>
  <si>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</si>
  <si>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</si>
  <si>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</si>
  <si>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</si>
  <si>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</si>
  <si>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</si>
  <si>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</si>
  <si>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</si>
  <si>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</si>
  <si>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</si>
  <si>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</si>
  <si>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</si>
  <si>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</si>
  <si>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</si>
  <si>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</si>
  <si>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</si>
  <si>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</si>
  <si>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</si>
  <si>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</si>
  <si>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</si>
  <si>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</si>
  <si>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</si>
  <si>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</si>
  <si>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</si>
  <si>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</si>
  <si>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</si>
  <si>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</si>
  <si>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</si>
  <si>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</si>
  <si>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</si>
  <si>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</si>
  <si>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</si>
  <si>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</si>
  <si>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</si>
  <si>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</si>
  <si>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</si>
  <si>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</si>
  <si>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</si>
  <si>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</si>
  <si>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</si>
  <si>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</si>
  <si>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</si>
  <si>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</si>
  <si>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</si>
  <si>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</si>
  <si>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</si>
  <si>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</si>
  <si>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</si>
  <si>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</si>
  <si>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</si>
  <si>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</si>
  <si>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</si>
  <si>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</si>
  <si>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</si>
  <si>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</si>
  <si>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</si>
  <si>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</si>
  <si>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</si>
  <si>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</si>
  <si>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</si>
  <si>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</si>
  <si>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</si>
  <si>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</si>
  <si>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</si>
  <si>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</si>
  <si>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</si>
  <si>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</si>
  <si>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</si>
  <si>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</si>
  <si>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</si>
  <si>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</si>
  <si>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</si>
  <si>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</si>
  <si>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</si>
  <si>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</si>
  <si>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</si>
  <si>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</si>
  <si>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</si>
  <si>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</si>
  <si>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</si>
  <si>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</si>
  <si>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</si>
  <si>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</si>
  <si>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</si>
  <si>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</si>
  <si>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</si>
  <si>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</si>
  <si>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</si>
  <si>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</si>
  <si>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</si>
  <si>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</si>
  <si>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</si>
  <si>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</si>
  <si>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</si>
  <si>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</si>
  <si>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</si>
  <si>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</si>
  <si>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</si>
  <si>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</si>
  <si>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</si>
  <si>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</si>
  <si>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</si>
  <si>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</si>
  <si>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</si>
  <si>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</si>
  <si>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</si>
  <si>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</si>
  <si>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</si>
  <si>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</si>
  <si>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</si>
  <si>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</si>
  <si>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</si>
  <si>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</si>
  <si>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</si>
  <si>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</si>
  <si>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</si>
  <si>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</si>
  <si>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</si>
  <si>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</si>
  <si>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</si>
  <si>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</si>
  <si>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</si>
  <si>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</si>
  <si>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</si>
  <si>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</si>
  <si>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</si>
  <si>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</si>
  <si>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</si>
  <si>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</si>
  <si>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</si>
  <si>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</si>
  <si>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</si>
  <si>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</si>
  <si>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</si>
  <si>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</si>
  <si>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</si>
  <si>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</si>
  <si>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</si>
  <si>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</si>
  <si>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</si>
  <si>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</si>
  <si>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</si>
  <si>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</si>
  <si>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</si>
  <si>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</si>
  <si>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</si>
  <si>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</si>
  <si>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</si>
  <si>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</si>
  <si>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</si>
  <si>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</si>
  <si>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</si>
  <si>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</si>
  <si>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</si>
  <si>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</si>
  <si>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</si>
  <si>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</si>
  <si>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</si>
  <si>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</si>
  <si>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</si>
  <si>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</si>
  <si>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</si>
  <si>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</si>
  <si>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</si>
  <si>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</si>
  <si>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</si>
  <si>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</si>
  <si>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</si>
  <si>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</si>
  <si>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</si>
  <si>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</si>
  <si>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</si>
  <si>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</si>
  <si>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</si>
  <si>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</si>
  <si>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</si>
  <si>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</si>
  <si>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</si>
  <si>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</si>
  <si>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</si>
  <si>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</si>
  <si>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</si>
  <si>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</si>
  <si>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</si>
  <si>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</si>
  <si>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</si>
  <si>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</si>
  <si>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</si>
  <si>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</si>
  <si>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</si>
  <si>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</si>
  <si>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</si>
  <si>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</si>
  <si>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</si>
  <si>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</si>
  <si>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</si>
  <si>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</si>
  <si>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</si>
  <si>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</si>
  <si>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</si>
  <si>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</si>
  <si>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</si>
  <si>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</si>
  <si>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</si>
  <si>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</si>
  <si>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</si>
  <si>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</si>
  <si>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</si>
  <si>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</si>
  <si>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</si>
  <si>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</si>
  <si>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</si>
  <si>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</si>
  <si>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</si>
  <si>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</si>
  <si>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</si>
  <si>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</si>
  <si>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</si>
  <si>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</si>
  <si>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</si>
  <si>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</si>
  <si>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</si>
  <si>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</si>
  <si>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</si>
  <si>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</si>
  <si>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</si>
  <si>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</si>
  <si>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</si>
  <si>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</si>
  <si>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</si>
  <si>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</si>
  <si>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</si>
  <si>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</si>
  <si>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</si>
  <si>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</si>
  <si>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</si>
  <si>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</si>
  <si>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</si>
  <si>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</si>
  <si>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</si>
  <si>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</si>
  <si>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</si>
  <si>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</si>
  <si>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</si>
  <si>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</si>
  <si>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</si>
  <si>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</si>
  <si>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</si>
  <si>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</si>
  <si>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</si>
  <si>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</si>
  <si>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</si>
  <si>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</si>
  <si>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</si>
  <si>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</si>
  <si>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</si>
  <si>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</si>
  <si>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</si>
  <si>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</si>
  <si>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</si>
  <si>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</si>
  <si>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</si>
  <si>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</si>
  <si>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</si>
  <si>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</si>
  <si>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</si>
  <si>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</si>
  <si>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</si>
  <si>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</si>
  <si>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</si>
  <si>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</si>
  <si>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</si>
  <si>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</si>
  <si>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</si>
  <si>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</si>
  <si>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</si>
  <si>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</si>
  <si>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</si>
  <si>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</si>
  <si>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</si>
  <si>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</si>
  <si>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</si>
  <si>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</si>
  <si>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</si>
  <si>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</si>
  <si>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</si>
  <si>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</si>
  <si>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</si>
  <si>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</si>
  <si>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</si>
  <si>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</si>
  <si>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</si>
  <si>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</si>
  <si>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</si>
  <si>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</si>
  <si>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</si>
  <si>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</si>
  <si>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</si>
  <si>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</si>
  <si>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</si>
  <si>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</si>
  <si>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</si>
  <si>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</si>
  <si>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</si>
  <si>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</si>
  <si>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</si>
  <si>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</si>
  <si>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</si>
  <si>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</si>
  <si>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</si>
  <si>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</si>
  <si>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</si>
  <si>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</si>
  <si>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</si>
  <si>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</si>
  <si>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</si>
  <si>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</si>
  <si>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</si>
  <si>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</si>
  <si>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</si>
  <si>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</si>
  <si>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</si>
  <si>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</si>
  <si>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</si>
  <si>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</si>
  <si>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</si>
  <si>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</si>
  <si>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</si>
  <si>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</si>
  <si>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</si>
  <si>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</si>
  <si>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</si>
  <si>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</si>
  <si>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</si>
  <si>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</si>
  <si>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</si>
  <si>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</si>
  <si>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</si>
  <si>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</si>
  <si>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</si>
  <si>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</si>
  <si>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</si>
  <si>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</si>
  <si>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</si>
  <si>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</si>
  <si>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</si>
  <si>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</si>
  <si>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</si>
  <si>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</si>
  <si>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</si>
  <si>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</si>
  <si>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</si>
  <si>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</si>
  <si>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</si>
  <si>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</si>
  <si>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</si>
  <si>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</si>
  <si>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</si>
  <si>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</si>
  <si>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</si>
  <si>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</si>
  <si>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</si>
  <si>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</si>
  <si>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</si>
  <si>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</si>
  <si>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</si>
  <si>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</si>
  <si>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</si>
  <si>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</si>
  <si>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</si>
  <si>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</si>
  <si>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</si>
  <si>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</si>
  <si>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</si>
  <si>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</si>
  <si>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</si>
  <si>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</si>
  <si>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</si>
  <si>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</si>
  <si>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</si>
  <si>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</si>
  <si>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</si>
  <si>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</si>
  <si>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</si>
  <si>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</si>
  <si>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</si>
  <si>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</si>
  <si>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</si>
  <si>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</si>
  <si>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</si>
  <si>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</si>
  <si>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</si>
  <si>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</si>
  <si>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</si>
  <si>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</si>
  <si>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</si>
  <si>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</si>
  <si>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</si>
  <si>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</si>
  <si>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</si>
  <si>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</si>
  <si>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</si>
  <si>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</si>
  <si>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</si>
  <si>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</si>
  <si>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</si>
  <si>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</si>
  <si>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</si>
  <si>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</si>
  <si>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</si>
  <si>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</si>
  <si>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</si>
  <si>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</si>
  <si>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</si>
  <si>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</si>
  <si>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</si>
  <si>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</si>
  <si>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</si>
  <si>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</si>
  <si>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</si>
  <si>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</si>
  <si>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</si>
  <si>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</si>
  <si>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</si>
  <si>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</si>
  <si>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</si>
  <si>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</si>
  <si>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</si>
  <si>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</si>
  <si>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</si>
  <si>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</si>
  <si>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</si>
  <si>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</si>
  <si>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</si>
  <si>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</si>
  <si>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</si>
  <si>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</si>
  <si>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</si>
  <si>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</si>
  <si>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</si>
  <si>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</si>
  <si>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</si>
  <si>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</si>
  <si>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</si>
  <si>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</si>
  <si>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</si>
  <si>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</si>
  <si>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</si>
  <si>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</si>
  <si>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</si>
  <si>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</si>
  <si>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</si>
  <si>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</si>
  <si>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</si>
  <si>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</si>
  <si>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</si>
  <si>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</si>
  <si>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</si>
  <si>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</si>
  <si>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</si>
  <si>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</si>
  <si>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</si>
  <si>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</si>
  <si>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</si>
  <si>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</si>
  <si>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</si>
  <si>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</si>
  <si>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</si>
  <si>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</si>
  <si>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</si>
  <si>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</si>
  <si>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</si>
  <si>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</si>
  <si>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</si>
  <si>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</si>
  <si>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</si>
  <si>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</si>
  <si>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</si>
  <si>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</si>
  <si>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</si>
  <si>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</si>
  <si>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</si>
  <si>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</si>
  <si>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</si>
  <si>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</si>
  <si>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</si>
  <si>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</si>
  <si>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</si>
  <si>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</si>
  <si>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</si>
  <si>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</si>
  <si>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</si>
  <si>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</si>
  <si>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</si>
  <si>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</si>
  <si>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</si>
  <si>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</si>
  <si>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</si>
  <si>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</si>
  <si>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</si>
  <si>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</si>
  <si>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</si>
  <si>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</si>
  <si>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</si>
  <si>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</si>
  <si>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</si>
  <si>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</si>
  <si>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</si>
  <si>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</si>
  <si>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</si>
  <si>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</si>
  <si>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</si>
  <si>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</si>
  <si>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</si>
  <si>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</si>
  <si>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</si>
  <si>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</si>
  <si>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</si>
  <si>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</si>
  <si>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</si>
  <si>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</si>
  <si>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</si>
  <si>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</si>
  <si>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</si>
  <si>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</si>
  <si>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</si>
  <si>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</si>
  <si>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</si>
  <si>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</si>
  <si>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</si>
  <si>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</si>
  <si>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</si>
  <si>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</si>
  <si>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</si>
  <si>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</si>
  <si>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</si>
  <si>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</si>
  <si>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</si>
  <si>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</si>
  <si>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</si>
  <si>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</si>
  <si>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</si>
  <si>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</si>
  <si>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</si>
  <si>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</si>
  <si>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</si>
  <si>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</si>
  <si>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</si>
  <si>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</si>
  <si>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</si>
  <si>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</si>
  <si>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</si>
  <si>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</si>
  <si>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</si>
  <si>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</si>
  <si>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</si>
  <si>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</si>
  <si>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</si>
  <si>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</si>
  <si>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</si>
  <si>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</si>
  <si>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</si>
  <si>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</si>
  <si>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</si>
  <si>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</si>
  <si>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</si>
  <si>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</si>
  <si>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</si>
  <si>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</si>
  <si>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</si>
  <si>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</si>
  <si>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</si>
  <si>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</si>
  <si>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</si>
  <si>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</si>
  <si>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</si>
  <si>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</si>
  <si>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</si>
  <si>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</si>
  <si>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</si>
  <si>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</si>
  <si>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</si>
  <si>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</si>
  <si>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</si>
  <si>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</si>
  <si>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</si>
  <si>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</si>
  <si>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</si>
  <si>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</si>
  <si>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</si>
  <si>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</si>
  <si>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</si>
  <si>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</si>
  <si>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</si>
  <si>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</si>
  <si>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</si>
  <si>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</si>
  <si>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</si>
  <si>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</si>
  <si>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</si>
  <si>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</si>
  <si>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</si>
  <si>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</si>
  <si>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</si>
  <si>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</si>
  <si>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</si>
  <si>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</si>
  <si>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</si>
  <si>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</si>
  <si>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</si>
  <si>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</si>
  <si>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</si>
  <si>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</si>
  <si>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</si>
  <si>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</si>
  <si>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</si>
  <si>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</si>
  <si>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</si>
  <si>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</si>
  <si>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</si>
  <si>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</si>
  <si>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</si>
  <si>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</si>
  <si>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</si>
  <si>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</si>
  <si>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</si>
  <si>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</si>
  <si>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</si>
  <si>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</si>
  <si>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</si>
  <si>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</si>
  <si>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</si>
  <si>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</si>
  <si>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</si>
  <si>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</si>
  <si>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</si>
  <si>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</si>
  <si>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</si>
  <si>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</si>
  <si>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</si>
  <si>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</si>
  <si>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</si>
  <si>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</si>
  <si>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</si>
  <si>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</si>
  <si>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</si>
  <si>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</si>
  <si>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</si>
  <si>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</si>
  <si>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</si>
  <si>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</si>
  <si>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</si>
  <si>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</si>
  <si>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</si>
  <si>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</si>
  <si>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</si>
  <si>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</si>
  <si>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</si>
  <si>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</si>
  <si>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</si>
  <si>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</si>
  <si>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</si>
  <si>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</si>
  <si>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</si>
  <si>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</si>
  <si>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</si>
  <si>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</si>
  <si>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</si>
  <si>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</si>
  <si>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</si>
  <si>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</si>
  <si>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</si>
  <si>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</si>
  <si>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</si>
  <si>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</si>
  <si>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</si>
  <si>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</si>
  <si>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</si>
  <si>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</si>
  <si>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</si>
  <si>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</si>
  <si>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</si>
  <si>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</si>
  <si>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</si>
  <si>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</si>
  <si>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</si>
  <si>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</si>
  <si>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</si>
  <si>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</si>
  <si>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</si>
  <si>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</si>
  <si>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</si>
  <si>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</si>
  <si>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</si>
  <si>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</si>
  <si>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</si>
  <si>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</si>
  <si>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</si>
  <si>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</si>
  <si>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</si>
  <si>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</si>
  <si>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</si>
  <si>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</si>
  <si>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</si>
  <si>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</si>
  <si>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</si>
  <si>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</si>
  <si>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</si>
  <si>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</si>
  <si>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</si>
  <si>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</si>
  <si>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</si>
  <si>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</si>
  <si>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</si>
  <si>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</si>
  <si>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</si>
  <si>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</si>
  <si>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</si>
  <si>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</si>
  <si>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</si>
  <si>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</si>
  <si>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</si>
  <si>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</si>
  <si>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</si>
  <si>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</si>
  <si>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</si>
  <si>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</si>
  <si>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</si>
  <si>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</si>
  <si>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</si>
  <si>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</si>
  <si>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</si>
  <si>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</si>
  <si>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</si>
  <si>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</si>
  <si>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</si>
  <si>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</si>
  <si>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</si>
  <si>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</si>
  <si>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</si>
  <si>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</si>
  <si>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</si>
  <si>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</si>
  <si>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</si>
  <si>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</si>
  <si>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</si>
  <si>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</si>
  <si>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</si>
  <si>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</si>
  <si>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</si>
  <si>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</si>
  <si>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</si>
  <si>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</si>
  <si>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</si>
  <si>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</si>
  <si>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</si>
  <si>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</si>
  <si>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</si>
  <si>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</si>
  <si>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</si>
  <si>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</si>
  <si>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</si>
  <si>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</si>
  <si>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</si>
  <si>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</si>
  <si>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</si>
  <si>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</si>
  <si>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</si>
  <si>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</si>
  <si>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</si>
  <si>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</si>
  <si>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</si>
  <si>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</si>
  <si>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</si>
  <si>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</si>
  <si>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</si>
  <si>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</si>
  <si>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</si>
  <si>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</si>
  <si>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</si>
  <si>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</si>
  <si>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</si>
  <si>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</si>
  <si>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</si>
  <si>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</si>
  <si>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</si>
  <si>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</si>
  <si>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</si>
  <si>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</si>
  <si>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</si>
  <si>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</si>
  <si>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</si>
  <si>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</si>
  <si>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</si>
  <si>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</si>
  <si>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</si>
  <si>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</si>
  <si>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</si>
  <si>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</si>
  <si>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</si>
  <si>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</si>
  <si>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</si>
  <si>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</si>
  <si>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</si>
  <si>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</si>
  <si>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</si>
  <si>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</si>
  <si>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</si>
  <si>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</si>
  <si>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</si>
  <si>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</si>
  <si>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</si>
  <si>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</si>
  <si>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</si>
  <si>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</si>
  <si>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</si>
  <si>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</si>
  <si>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</si>
  <si>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</si>
  <si>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</si>
  <si>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</si>
  <si>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</si>
  <si>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</si>
  <si>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</si>
  <si>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</si>
  <si>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</si>
  <si>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</si>
  <si>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</si>
  <si>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</si>
  <si>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</si>
  <si>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</si>
  <si>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</si>
  <si>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</si>
  <si>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</si>
  <si>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</si>
  <si>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</si>
  <si>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</si>
  <si>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</si>
  <si>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</si>
  <si>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</si>
  <si>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</si>
  <si>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</si>
  <si>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</si>
  <si>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</si>
  <si>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</si>
  <si>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</si>
  <si>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</si>
  <si>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</si>
  <si>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</si>
  <si>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</si>
  <si>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</si>
  <si>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</si>
  <si>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</si>
  <si>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</si>
  <si>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</si>
  <si>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</si>
  <si>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</si>
  <si>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</si>
  <si>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</si>
  <si>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</si>
  <si>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</si>
  <si>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</si>
  <si>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</si>
  <si>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</si>
  <si>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</si>
  <si>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</si>
  <si>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</si>
  <si>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</si>
  <si>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</si>
  <si>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</si>
  <si>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</si>
  <si>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</si>
  <si>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</si>
  <si>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</si>
  <si>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</si>
  <si>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</si>
  <si>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</si>
  <si>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</si>
  <si>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</si>
  <si>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</si>
  <si>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</si>
  <si>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</si>
  <si>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</si>
  <si>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</si>
  <si>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</si>
  <si>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</si>
  <si>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</si>
  <si>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</si>
  <si>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</si>
  <si>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</si>
  <si>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</si>
  <si>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</si>
  <si>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</si>
  <si>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</si>
  <si>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</si>
  <si>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</si>
  <si>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</si>
  <si>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</si>
  <si>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</si>
  <si>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</si>
  <si>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</si>
  <si>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</si>
  <si>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</si>
  <si>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</si>
  <si>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</si>
  <si>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</si>
  <si>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</si>
  <si>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</si>
  <si>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</si>
  <si>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</si>
  <si>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</si>
  <si>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</si>
  <si>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</si>
  <si>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</si>
  <si>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</si>
  <si>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</si>
  <si>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</si>
  <si>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</si>
  <si>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</si>
  <si>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</si>
  <si>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</si>
  <si>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</si>
  <si>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</si>
  <si>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</si>
  <si>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</si>
  <si>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</si>
  <si>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</si>
  <si>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</si>
  <si>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</si>
  <si>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</si>
  <si>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</si>
  <si>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</si>
  <si>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</si>
  <si>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</si>
  <si>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</si>
  <si>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</si>
  <si>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</si>
  <si>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</si>
  <si>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</si>
  <si>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</si>
  <si>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</si>
  <si>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</si>
  <si>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</si>
  <si>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</si>
  <si>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</si>
  <si>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</si>
  <si>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</si>
  <si>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</si>
  <si>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</si>
  <si>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</si>
  <si>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</si>
  <si>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</si>
  <si>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</si>
  <si>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</si>
  <si>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</si>
  <si>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</si>
  <si>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</si>
  <si>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</si>
  <si>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</si>
  <si>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</si>
  <si>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</si>
  <si>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</si>
  <si>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</si>
  <si>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</si>
  <si>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</si>
  <si>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</si>
  <si>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</si>
  <si>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</si>
  <si>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</si>
  <si>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</si>
  <si>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</si>
  <si>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</si>
  <si>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</si>
  <si>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</si>
  <si>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</si>
  <si>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</si>
  <si>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</si>
  <si>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</si>
  <si>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</si>
  <si>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</si>
  <si>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</si>
  <si>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</si>
  <si>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</si>
  <si>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</si>
  <si>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</si>
  <si>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</si>
  <si>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</si>
  <si>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</si>
  <si>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</si>
  <si>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</si>
  <si>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</si>
  <si>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</si>
  <si>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</si>
  <si>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</si>
  <si>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</si>
  <si>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</si>
  <si>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</si>
  <si>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</si>
  <si>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</si>
  <si>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</si>
  <si>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</si>
  <si>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</si>
  <si>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</si>
  <si>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</si>
  <si>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</si>
  <si>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</si>
  <si>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</si>
  <si>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</si>
  <si>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</si>
  <si>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</si>
  <si>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</si>
  <si>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</si>
  <si>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</si>
  <si>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</si>
  <si>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</si>
  <si>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</si>
  <si>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</si>
  <si>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</si>
  <si>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</si>
  <si>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</si>
  <si>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</si>
  <si>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</si>
  <si>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</si>
  <si>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</si>
  <si>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</si>
  <si>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</si>
  <si>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</si>
  <si>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</si>
  <si>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</si>
  <si>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</si>
  <si>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</si>
  <si>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</si>
  <si>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</si>
  <si>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</si>
  <si>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</si>
  <si>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</si>
  <si>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</si>
  <si>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</si>
  <si>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</si>
  <si>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</si>
  <si>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</si>
  <si>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</si>
  <si>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</si>
  <si>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</si>
  <si>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</si>
  <si>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</si>
  <si>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</si>
  <si>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</si>
  <si>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</si>
  <si>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</si>
  <si>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</si>
  <si>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</si>
  <si>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</si>
  <si>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</si>
  <si>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</si>
  <si>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</si>
  <si>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</si>
  <si>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</si>
  <si>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</si>
  <si>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</si>
  <si>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</si>
  <si>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</si>
  <si>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</si>
  <si>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</si>
  <si>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</si>
  <si>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</si>
  <si>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</si>
  <si>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</si>
  <si>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</si>
  <si>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</si>
  <si>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</si>
  <si>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</si>
  <si>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</si>
  <si>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</si>
  <si>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</si>
  <si>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</si>
  <si>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</si>
  <si>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</si>
  <si>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</si>
  <si>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</si>
  <si>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</si>
  <si>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</si>
  <si>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</si>
  <si>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</si>
  <si>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</si>
  <si>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</si>
  <si>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</si>
  <si>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</si>
  <si>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</si>
  <si>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</si>
  <si>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</si>
  <si>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</si>
  <si>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</si>
  <si>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</si>
  <si>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</si>
  <si>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</si>
  <si>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</si>
  <si>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</si>
  <si>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</si>
  <si>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</si>
  <si>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</si>
  <si>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</si>
  <si>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</si>
  <si>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</si>
  <si>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</si>
  <si>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</si>
  <si>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</si>
  <si>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</si>
  <si>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</si>
  <si>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</si>
  <si>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</si>
  <si>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</si>
  <si>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</si>
  <si>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</si>
  <si>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</si>
  <si>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</si>
  <si>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</si>
  <si>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</si>
  <si>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</si>
  <si>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</si>
  <si>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</si>
  <si>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</si>
  <si>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</si>
  <si>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</si>
  <si>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</si>
  <si>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</si>
  <si>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</si>
  <si>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</si>
  <si>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</si>
  <si>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</si>
  <si>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</si>
  <si>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</si>
  <si>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</si>
  <si>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</si>
  <si>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</si>
  <si>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</si>
  <si>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</si>
  <si>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</si>
  <si>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</si>
  <si>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</si>
  <si>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</si>
  <si>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</si>
  <si>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</si>
  <si>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</si>
  <si>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</si>
  <si>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</si>
  <si>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</si>
  <si>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</si>
  <si>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</si>
  <si>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</si>
  <si>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</si>
  <si>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</si>
  <si>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</si>
  <si>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</si>
  <si>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</si>
  <si>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</si>
  <si>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</si>
  <si>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</si>
  <si>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</si>
  <si>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</si>
  <si>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</si>
  <si>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</si>
  <si>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</si>
  <si>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</si>
  <si>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</si>
  <si>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</si>
  <si>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</si>
  <si>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</si>
  <si>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</si>
  <si>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</si>
  <si>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</si>
  <si>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</si>
  <si>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</si>
  <si>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</si>
  <si>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</si>
  <si>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</si>
  <si>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</si>
  <si>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</si>
  <si>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</si>
  <si>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</si>
  <si>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</si>
  <si>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</si>
  <si>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</si>
  <si>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</si>
  <si>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</si>
  <si>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</si>
  <si>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</si>
  <si>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</si>
  <si>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</si>
  <si>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</si>
  <si>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</si>
  <si>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</si>
  <si>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</si>
  <si>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</si>
  <si>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</si>
  <si>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</si>
  <si>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</si>
  <si>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</si>
  <si>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</si>
  <si>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</si>
  <si>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</si>
  <si>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</si>
  <si>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</si>
  <si>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</si>
  <si>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</si>
  <si>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</si>
  <si>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</si>
  <si>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</si>
  <si>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</si>
  <si>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</si>
  <si>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</si>
  <si>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</si>
  <si>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</si>
  <si>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</si>
  <si>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</si>
  <si>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</si>
  <si>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</si>
  <si>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</si>
  <si>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</si>
  <si>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</si>
  <si>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</si>
  <si>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</si>
  <si>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</si>
  <si>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</si>
  <si>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</si>
  <si>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</si>
  <si>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</si>
  <si>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</si>
  <si>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</si>
  <si>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</si>
  <si>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</si>
  <si>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</si>
  <si>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</si>
  <si>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</si>
  <si>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</si>
  <si>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</si>
  <si>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</si>
  <si>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</si>
  <si>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</si>
  <si>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</si>
  <si>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</si>
  <si>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</si>
  <si>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</si>
  <si>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</si>
  <si>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</si>
  <si>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</si>
  <si>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</si>
  <si>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</si>
  <si>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</si>
  <si>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</si>
  <si>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</si>
  <si>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</si>
  <si>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</si>
  <si>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</si>
  <si>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</si>
  <si>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</si>
  <si>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</si>
  <si>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</si>
  <si>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</si>
  <si>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</si>
  <si>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</si>
  <si>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</si>
  <si>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</si>
  <si>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</si>
  <si>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</si>
  <si>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</si>
  <si>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</si>
  <si>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</si>
  <si>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</si>
  <si>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</si>
  <si>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</si>
  <si>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</si>
  <si>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</si>
  <si>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</si>
  <si>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</si>
  <si>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</si>
  <si>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</si>
  <si>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</si>
  <si>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</si>
  <si>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</si>
  <si>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</si>
  <si>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</si>
  <si>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</si>
  <si>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</si>
  <si>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</si>
  <si>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</si>
  <si>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</si>
  <si>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</si>
  <si>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</si>
  <si>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</si>
  <si>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</si>
  <si>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</si>
  <si>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</si>
  <si>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</si>
  <si>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</si>
  <si>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</si>
  <si>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</si>
  <si>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</si>
  <si>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</si>
  <si>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</si>
  <si>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</si>
  <si>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</si>
  <si>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</si>
  <si>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</si>
  <si>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</si>
  <si>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</si>
  <si>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</si>
  <si>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</si>
  <si>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</si>
  <si>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</si>
  <si>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</si>
  <si>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</si>
  <si>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</si>
  <si>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</si>
  <si>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</si>
  <si>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</si>
  <si>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</si>
  <si>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</si>
  <si>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</si>
  <si>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</si>
  <si>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</si>
  <si>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</si>
  <si>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</si>
  <si>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</si>
  <si>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</si>
  <si>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</si>
  <si>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</si>
  <si>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</si>
  <si>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</si>
  <si>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</si>
  <si>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</si>
  <si>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</si>
  <si>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</si>
  <si>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</si>
  <si>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</si>
  <si>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</si>
  <si>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</si>
  <si>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</si>
  <si>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</si>
  <si>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</si>
  <si>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</si>
  <si>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</si>
  <si>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</si>
  <si>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</si>
  <si>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</si>
  <si>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</si>
  <si>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</si>
  <si>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</si>
  <si>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</si>
  <si>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</si>
  <si>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</si>
  <si>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</si>
  <si>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</si>
  <si>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</si>
  <si>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</si>
  <si>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</si>
  <si>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</si>
  <si>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</si>
  <si>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</si>
  <si>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</si>
  <si>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</si>
  <si>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</si>
  <si>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</si>
  <si>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</si>
  <si>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</si>
  <si>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</si>
  <si>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</si>
  <si>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</si>
  <si>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</si>
  <si>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</si>
  <si>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</si>
  <si>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</si>
  <si>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</si>
  <si>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</si>
  <si>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</si>
  <si>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</si>
  <si>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</si>
  <si>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</si>
  <si>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</si>
  <si>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</si>
  <si>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</si>
  <si>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</si>
  <si>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</si>
  <si>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</si>
  <si>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</si>
  <si>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</si>
  <si>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</si>
  <si>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</si>
  <si>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</si>
  <si>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</si>
  <si>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</si>
  <si>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</si>
  <si>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</si>
  <si>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</si>
  <si>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</si>
  <si>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</si>
  <si>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</si>
  <si>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</si>
  <si>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</si>
  <si>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</si>
  <si>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</si>
  <si>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</si>
  <si>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</si>
  <si>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</si>
  <si>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</si>
  <si>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</si>
  <si>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</si>
  <si>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</si>
  <si>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</si>
  <si>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</si>
  <si>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</si>
  <si>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</si>
  <si>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</si>
  <si>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</si>
  <si>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</si>
  <si>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</si>
  <si>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</si>
  <si>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</si>
  <si>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</si>
  <si>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</si>
  <si>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</si>
  <si>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</si>
  <si>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</si>
  <si>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</si>
  <si>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</si>
  <si>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</si>
  <si>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</si>
  <si>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</si>
  <si>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</si>
  <si>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</si>
  <si>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</si>
  <si>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</si>
  <si>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</si>
  <si>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</si>
  <si>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</si>
  <si>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</si>
  <si>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</si>
  <si>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</si>
  <si>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</si>
  <si>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</si>
  <si>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</si>
  <si>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</si>
  <si>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</si>
  <si>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</si>
  <si>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</si>
  <si>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</si>
  <si>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</si>
  <si>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</si>
  <si>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</si>
  <si>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</si>
  <si>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</si>
  <si>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</si>
  <si>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</si>
  <si>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</si>
  <si>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</si>
  <si>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</si>
  <si>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</si>
  <si>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</si>
  <si>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</si>
  <si>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</si>
  <si>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</si>
  <si>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</si>
  <si>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</si>
  <si>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</si>
  <si>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</si>
  <si>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</si>
  <si>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</si>
  <si>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</si>
  <si>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</si>
  <si>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</si>
  <si>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</si>
  <si>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</si>
  <si>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</si>
  <si>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</si>
  <si>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</si>
  <si>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</si>
  <si>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</si>
  <si>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</si>
  <si>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</si>
  <si>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</si>
  <si>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</si>
  <si>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</si>
  <si>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</si>
  <si>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</si>
  <si>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</si>
  <si>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</si>
  <si>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</si>
  <si>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</si>
  <si>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</si>
  <si>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</si>
  <si>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</si>
  <si>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</si>
  <si>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</si>
  <si>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</si>
  <si>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</si>
  <si>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</si>
  <si>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</si>
  <si>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</si>
  <si>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</si>
  <si>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</si>
  <si>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</si>
  <si>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</si>
  <si>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</si>
  <si>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</si>
  <si>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</si>
  <si>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</si>
  <si>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</si>
  <si>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</si>
  <si>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</si>
  <si>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</si>
  <si>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</si>
  <si>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</si>
  <si>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</si>
  <si>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</si>
  <si>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</si>
  <si>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</si>
  <si>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</si>
  <si>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</si>
  <si>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</si>
  <si>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</si>
  <si>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</si>
  <si>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</si>
  <si>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</si>
  <si>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</si>
  <si>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</si>
  <si>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</si>
  <si>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</si>
  <si>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</si>
  <si>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</si>
  <si>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</si>
  <si>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</si>
  <si>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</si>
  <si>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</si>
  <si>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</si>
  <si>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</si>
  <si>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</si>
  <si>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</si>
  <si>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</si>
  <si>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</si>
  <si>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</si>
  <si>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</si>
  <si>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</si>
  <si>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</si>
  <si>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</si>
  <si>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</si>
  <si>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</si>
  <si>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</si>
  <si>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</si>
  <si>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</si>
  <si>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</si>
  <si>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</si>
  <si>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</si>
  <si>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</si>
  <si>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</si>
  <si>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</si>
  <si>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</si>
  <si>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</si>
  <si>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</si>
  <si>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</si>
  <si>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</si>
  <si>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</si>
  <si>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</si>
  <si>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</si>
  <si>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</si>
  <si>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</si>
  <si>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</si>
  <si>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</si>
  <si>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</si>
  <si>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</si>
  <si>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</si>
  <si>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</si>
  <si>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</si>
  <si>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</si>
  <si>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</si>
  <si>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</si>
  <si>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</si>
  <si>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</si>
  <si>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</si>
  <si>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</si>
  <si>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</si>
  <si>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</si>
  <si>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</si>
  <si>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</si>
  <si>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</si>
  <si>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</si>
  <si>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</si>
  <si>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</si>
  <si>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</si>
  <si>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</si>
  <si>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</si>
  <si>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</si>
  <si>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</si>
  <si>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</si>
  <si>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</si>
  <si>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</si>
  <si>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</si>
  <si>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</si>
  <si>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</si>
  <si>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</si>
  <si>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</si>
  <si>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</si>
  <si>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</si>
  <si>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</si>
  <si>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</si>
  <si>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</si>
  <si>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</si>
  <si>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</si>
  <si>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</si>
  <si>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</si>
  <si>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</si>
  <si>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</si>
  <si>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</si>
  <si>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</si>
  <si>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</si>
  <si>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</si>
  <si>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</si>
  <si>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</si>
  <si>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</si>
  <si>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</si>
  <si>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</si>
  <si>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</si>
  <si>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</si>
  <si>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</si>
  <si>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</si>
  <si>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</si>
  <si>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</si>
  <si>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</si>
  <si>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</si>
  <si>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</si>
  <si>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</si>
  <si>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</si>
  <si>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</si>
  <si>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</si>
  <si>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</si>
  <si>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</si>
  <si>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</si>
  <si>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</si>
  <si>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</si>
  <si>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</si>
  <si>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</si>
  <si>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</si>
  <si>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</si>
  <si>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</si>
  <si>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</si>
  <si>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</si>
  <si>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</si>
  <si>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</si>
  <si>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</si>
  <si>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</si>
  <si>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</si>
  <si>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</si>
  <si>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</si>
  <si>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</si>
  <si>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</si>
  <si>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</si>
  <si>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</si>
  <si>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</si>
  <si>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</si>
  <si>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</si>
  <si>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</si>
  <si>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</si>
  <si>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</si>
  <si>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</si>
  <si>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</si>
  <si>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</si>
  <si>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</si>
  <si>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</si>
  <si>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</si>
  <si>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</si>
  <si>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</si>
  <si>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</si>
  <si>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</si>
  <si>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</si>
  <si>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</si>
  <si>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</si>
  <si>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</si>
  <si>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</si>
  <si>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</si>
  <si>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</si>
  <si>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</si>
  <si>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</si>
  <si>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</si>
  <si>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</si>
  <si>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</si>
  <si>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</si>
  <si>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</si>
  <si>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</si>
  <si>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</si>
  <si>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</si>
  <si>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</si>
  <si>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</si>
  <si>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</si>
  <si>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</si>
  <si>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</si>
  <si>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</si>
  <si>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</si>
  <si>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</si>
  <si>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</si>
  <si>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</si>
  <si>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</si>
  <si>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</si>
  <si>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</si>
  <si>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</si>
  <si>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</si>
  <si>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</si>
  <si>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</si>
  <si>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</si>
  <si>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</si>
  <si>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</si>
  <si>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</si>
  <si>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</si>
  <si>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</si>
  <si>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</si>
  <si>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</si>
  <si>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</si>
  <si>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</si>
  <si>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</si>
  <si>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</si>
  <si>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</si>
  <si>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</si>
  <si>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</si>
  <si>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</si>
  <si>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</si>
  <si>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</si>
  <si>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</si>
  <si>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</si>
  <si>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</si>
  <si>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</si>
  <si>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</si>
  <si>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</si>
  <si>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</si>
  <si>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</si>
  <si>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</si>
  <si>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</si>
  <si>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</si>
  <si>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</si>
  <si>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</si>
  <si>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</si>
  <si>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</si>
  <si>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</si>
  <si>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</si>
  <si>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</si>
  <si>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</si>
  <si>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</si>
  <si>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</si>
  <si>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</si>
  <si>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</si>
  <si>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</si>
  <si>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</si>
  <si>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</si>
  <si>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</si>
  <si>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</si>
  <si>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</si>
  <si>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</si>
  <si>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</si>
  <si>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</si>
  <si>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</si>
  <si>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</si>
  <si>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</si>
  <si>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</si>
  <si>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</si>
  <si>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</si>
  <si>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</si>
  <si>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</si>
  <si>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</si>
  <si>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</si>
  <si>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</si>
  <si>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</si>
  <si>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</si>
  <si>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</si>
  <si>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</si>
  <si>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</si>
  <si>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</si>
  <si>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</si>
  <si>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</si>
  <si>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</si>
  <si>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</si>
  <si>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</si>
  <si>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</si>
  <si>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</si>
  <si>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</si>
  <si>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</si>
  <si>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</si>
  <si>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</si>
  <si>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</si>
  <si>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</si>
  <si>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</si>
  <si>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</si>
  <si>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</si>
  <si>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</si>
  <si>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</si>
  <si>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</si>
  <si>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</si>
  <si>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</si>
  <si>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</si>
  <si>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</si>
  <si>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</si>
  <si>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</si>
  <si>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</si>
  <si>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</si>
  <si>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</si>
  <si>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</si>
  <si>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</si>
  <si>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</si>
  <si>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</si>
  <si>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</si>
  <si>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</si>
  <si>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</si>
  <si>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</si>
  <si>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</si>
  <si>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</si>
  <si>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</si>
  <si>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</si>
  <si>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</si>
  <si>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</si>
  <si>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</si>
  <si>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</si>
  <si>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</si>
  <si>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</si>
  <si>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</si>
  <si>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</si>
  <si>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</si>
  <si>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</si>
  <si>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</si>
  <si>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</si>
  <si>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</si>
  <si>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</si>
  <si>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</si>
  <si>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</si>
  <si>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</si>
  <si>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</si>
  <si>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</si>
  <si>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</si>
  <si>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</si>
  <si>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</si>
  <si>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</si>
  <si>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</si>
  <si>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</si>
  <si>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</si>
  <si>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</si>
  <si>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</si>
  <si>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</si>
  <si>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</si>
  <si>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</si>
  <si>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</si>
  <si>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</si>
  <si>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</si>
  <si>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</si>
  <si>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</si>
  <si>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</si>
  <si>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</si>
  <si>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</si>
  <si>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</si>
  <si>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</si>
  <si>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</si>
  <si>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</si>
  <si>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</si>
  <si>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</si>
  <si>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</si>
  <si>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</si>
  <si>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</si>
  <si>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</si>
  <si>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</si>
  <si>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</si>
  <si>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</si>
  <si>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</si>
  <si>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</si>
  <si>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</si>
  <si>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</si>
  <si>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</si>
  <si>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</si>
  <si>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</si>
  <si>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</si>
  <si>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</si>
  <si>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</si>
  <si>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</si>
  <si>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</si>
  <si>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</si>
  <si>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</si>
  <si>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</si>
  <si>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</si>
  <si>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</si>
  <si>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</si>
  <si>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</si>
  <si>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</si>
  <si>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</si>
  <si>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</si>
  <si>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</si>
  <si>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</si>
  <si>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</si>
  <si>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</si>
  <si>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</si>
  <si>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</si>
  <si>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</si>
  <si>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</si>
  <si>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</si>
  <si>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</si>
  <si>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</si>
  <si>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</si>
  <si>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</si>
  <si>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</si>
  <si>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</si>
  <si>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</si>
  <si>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</si>
  <si>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</si>
  <si>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</si>
  <si>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</si>
  <si>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</si>
  <si>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</si>
  <si>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</si>
  <si>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</si>
  <si>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</si>
  <si>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</si>
  <si>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</si>
  <si>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</si>
  <si>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</si>
  <si>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</si>
  <si>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</si>
  <si>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</si>
  <si>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</si>
  <si>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</si>
  <si>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</si>
  <si>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</si>
  <si>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</si>
  <si>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</si>
  <si>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</si>
  <si>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</si>
  <si>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</si>
  <si>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</si>
  <si>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</si>
  <si>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</si>
  <si>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</si>
  <si>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</si>
  <si>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</si>
  <si>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</si>
  <si>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</si>
  <si>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</si>
  <si>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</si>
  <si>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</si>
  <si>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</si>
  <si>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</si>
  <si>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</si>
  <si>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</si>
  <si>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</si>
  <si>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</si>
  <si>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</si>
  <si>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</si>
  <si>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</si>
  <si>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</si>
  <si>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</si>
  <si>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</si>
  <si>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</si>
  <si>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</si>
  <si>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</si>
  <si>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</si>
  <si>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</si>
  <si>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</si>
  <si>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</si>
  <si>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</si>
  <si>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</si>
  <si>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</si>
  <si>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</si>
  <si>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</si>
  <si>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</si>
  <si>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</si>
  <si>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</si>
  <si>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</si>
  <si>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</si>
  <si>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</si>
  <si>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</si>
  <si>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</si>
  <si>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</si>
  <si>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</si>
  <si>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</si>
  <si>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</si>
  <si>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</si>
  <si>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</si>
  <si>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</si>
  <si>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</si>
  <si>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</si>
  <si>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</si>
  <si>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</si>
  <si>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</si>
  <si>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</si>
  <si>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</si>
  <si>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</si>
  <si>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</si>
  <si>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</si>
  <si>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</si>
  <si>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</si>
  <si>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</si>
  <si>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</si>
  <si>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</si>
  <si>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</si>
  <si>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</si>
  <si>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</si>
  <si>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</si>
  <si>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</si>
  <si>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</si>
  <si>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</si>
  <si>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</si>
  <si>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</si>
  <si>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</si>
  <si>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</si>
  <si>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</si>
  <si>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</si>
  <si>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</si>
  <si>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</si>
  <si>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</si>
  <si>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</si>
  <si>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</si>
  <si>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</si>
  <si>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</si>
  <si>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</si>
  <si>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</si>
  <si>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</si>
  <si>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</si>
  <si>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</si>
  <si>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</si>
  <si>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</si>
  <si>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</si>
  <si>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</si>
  <si>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</si>
  <si>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</si>
  <si>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</si>
  <si>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</si>
  <si>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</si>
  <si>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</si>
  <si>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</si>
  <si>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</si>
  <si>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</si>
  <si>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</si>
  <si>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</si>
  <si>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</si>
  <si>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</si>
  <si>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</si>
  <si>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</si>
  <si>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</si>
  <si>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</si>
  <si>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</si>
  <si>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</si>
  <si>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</si>
  <si>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</si>
  <si>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</si>
  <si>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</si>
  <si>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</si>
  <si>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</si>
  <si>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</si>
  <si>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</si>
  <si>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</si>
  <si>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</si>
  <si>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</si>
  <si>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</si>
  <si>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</si>
  <si>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</si>
  <si>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</si>
  <si>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</si>
  <si>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</si>
  <si>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</si>
  <si>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</si>
  <si>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</si>
  <si>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</si>
  <si>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</si>
  <si>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</si>
  <si>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</si>
  <si>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</si>
  <si>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</si>
  <si>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</si>
  <si>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</si>
  <si>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</si>
  <si>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</si>
  <si>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</si>
  <si>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</si>
  <si>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</si>
  <si>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</si>
  <si>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</si>
  <si>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</si>
  <si>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</si>
  <si>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</si>
  <si>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</si>
  <si>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</si>
  <si>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</si>
  <si>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</si>
  <si>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</si>
  <si>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</si>
  <si>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</si>
  <si>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</si>
  <si>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</si>
  <si>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</si>
  <si>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</si>
  <si>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</si>
  <si>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</si>
  <si>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</si>
  <si>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</si>
  <si>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</si>
  <si>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</si>
  <si>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</si>
  <si>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</si>
  <si>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</si>
  <si>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</si>
  <si>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</si>
  <si>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</si>
  <si>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</si>
  <si>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</si>
  <si>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</si>
  <si>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</si>
  <si>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</si>
  <si>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</si>
  <si>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</si>
  <si>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</si>
  <si>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</si>
  <si>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</si>
  <si>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</si>
  <si>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</si>
  <si>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</si>
  <si>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</si>
  <si>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</si>
  <si>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</si>
  <si>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</si>
  <si>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</si>
  <si>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</si>
  <si>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</si>
  <si>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</si>
  <si>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</si>
  <si>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</si>
  <si>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</si>
  <si>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</si>
  <si>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</si>
  <si>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</si>
  <si>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</si>
  <si>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</si>
  <si>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</si>
  <si>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</si>
  <si>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</si>
  <si>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</si>
  <si>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</si>
  <si>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</si>
  <si>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</si>
  <si>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</si>
  <si>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</si>
  <si>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</si>
  <si>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</si>
  <si>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</si>
  <si>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</si>
  <si>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</si>
  <si>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</si>
  <si>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</si>
  <si>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</si>
  <si>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</si>
  <si>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</si>
  <si>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</si>
  <si>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</si>
  <si>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</si>
  <si>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</si>
  <si>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</si>
  <si>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</si>
  <si>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</si>
  <si>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</si>
  <si>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</si>
  <si>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</si>
  <si>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</si>
  <si>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</si>
  <si>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</si>
  <si>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</si>
  <si>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</si>
  <si>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</si>
  <si>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</si>
  <si>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</si>
  <si>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</si>
  <si>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</si>
  <si>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</si>
  <si>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</si>
  <si>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</si>
  <si>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</si>
  <si>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</si>
  <si>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</si>
  <si>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</si>
  <si>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</si>
  <si>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</si>
  <si>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</si>
  <si>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</si>
  <si>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</si>
  <si>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</si>
  <si>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</si>
  <si>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</si>
  <si>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</si>
  <si>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</si>
  <si>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</si>
  <si>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</si>
  <si>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</si>
  <si>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</si>
  <si>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</si>
  <si>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</si>
  <si>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</si>
  <si>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</si>
  <si>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</si>
  <si>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</si>
  <si>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</si>
  <si>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</si>
  <si>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</si>
  <si>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</si>
  <si>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</si>
  <si>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</si>
  <si>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</si>
  <si>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</si>
  <si>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</si>
  <si>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</si>
  <si>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</si>
  <si>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</si>
  <si>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</si>
  <si>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</si>
  <si>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</si>
  <si>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</si>
  <si>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</si>
  <si>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</si>
  <si>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</si>
  <si>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</si>
  <si>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</si>
  <si>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</si>
  <si>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</si>
  <si>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</si>
  <si>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</si>
  <si>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</si>
  <si>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</si>
  <si>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</si>
  <si>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</si>
  <si>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</si>
  <si>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</si>
  <si>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</si>
  <si>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</si>
  <si>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</si>
  <si>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</si>
  <si>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</si>
  <si>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</si>
  <si>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</si>
  <si>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</si>
  <si>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</si>
  <si>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</si>
  <si>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</si>
  <si>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</si>
  <si>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</si>
  <si>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</si>
  <si>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</si>
  <si>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</si>
  <si>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</si>
  <si>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</si>
  <si>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</si>
  <si>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</si>
  <si>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</si>
  <si>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</si>
  <si>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</si>
  <si>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</si>
  <si>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</si>
  <si>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</si>
  <si>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</si>
  <si>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</si>
  <si>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</si>
  <si>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</si>
  <si>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</si>
  <si>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</si>
  <si>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</si>
  <si>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</si>
  <si>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</si>
  <si>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</si>
  <si>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</si>
  <si>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</si>
  <si>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</si>
  <si>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</si>
  <si>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</si>
  <si>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</si>
  <si>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</si>
  <si>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</si>
  <si>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</si>
  <si>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</si>
  <si>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</si>
  <si>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</si>
  <si>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</si>
  <si>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</si>
  <si>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</si>
  <si>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</si>
  <si>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</si>
  <si>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</si>
  <si>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</si>
  <si>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</si>
  <si>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</si>
  <si>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</si>
  <si>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</si>
  <si>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</si>
  <si>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</si>
  <si>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</si>
  <si>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</si>
  <si>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</si>
  <si>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</si>
  <si>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</si>
  <si>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</si>
  <si>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</si>
  <si>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</si>
  <si>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</si>
  <si>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</si>
  <si>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</si>
  <si>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</si>
  <si>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</si>
  <si>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</si>
  <si>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</si>
  <si>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</si>
  <si>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</si>
  <si>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</si>
  <si>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</si>
  <si>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</si>
  <si>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</si>
  <si>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</si>
  <si>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</si>
  <si>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</si>
  <si>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</si>
  <si>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</si>
  <si>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</si>
  <si>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</si>
  <si>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</si>
  <si>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</si>
  <si>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</si>
  <si>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</si>
  <si>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</si>
  <si>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</si>
  <si>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</si>
  <si>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</si>
  <si>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</si>
  <si>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</si>
  <si>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</si>
  <si>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</si>
  <si>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</si>
  <si>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</si>
  <si>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</si>
  <si>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</si>
  <si>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</si>
  <si>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</si>
  <si>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</si>
  <si>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</si>
  <si>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</si>
  <si>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</si>
  <si>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</si>
  <si>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</si>
  <si>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</si>
  <si>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</si>
  <si>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</si>
  <si>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</si>
  <si>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</si>
  <si>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</si>
  <si>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</si>
  <si>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</si>
  <si>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</si>
  <si>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</si>
  <si>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</si>
  <si>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</si>
  <si>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</si>
  <si>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</si>
  <si>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</si>
  <si>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</si>
  <si>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</si>
  <si>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</si>
  <si>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</si>
  <si>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</si>
  <si>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</si>
  <si>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</si>
  <si>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</si>
  <si>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</si>
  <si>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</si>
  <si>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</si>
  <si>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</si>
  <si>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</si>
  <si>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</si>
  <si>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</si>
  <si>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</si>
  <si>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</si>
  <si>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</si>
  <si>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</si>
  <si>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</si>
  <si>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</si>
  <si>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</si>
  <si>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</si>
  <si>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</si>
  <si>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</si>
  <si>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</si>
  <si>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</si>
  <si>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</si>
  <si>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</si>
  <si>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</si>
  <si>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</si>
  <si>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</si>
  <si>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</si>
  <si>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</si>
  <si>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</si>
  <si>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</si>
  <si>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</si>
  <si>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</si>
  <si>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</si>
  <si>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</si>
  <si>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</si>
  <si>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</si>
  <si>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</si>
  <si>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</si>
  <si>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</si>
  <si>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</si>
  <si>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</si>
  <si>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</si>
  <si>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</si>
  <si>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</si>
  <si>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</si>
  <si>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</si>
  <si>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</si>
  <si>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</si>
  <si>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</si>
  <si>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</si>
  <si>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</si>
  <si>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</si>
  <si>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</si>
  <si>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</si>
  <si>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</si>
  <si>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</si>
  <si>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</si>
  <si>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</si>
  <si>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</si>
  <si>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</si>
  <si>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</si>
  <si>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</si>
  <si>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</si>
  <si>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</si>
  <si>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</si>
  <si>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</si>
  <si>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</si>
  <si>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</si>
  <si>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</si>
  <si>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</si>
  <si>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</si>
  <si>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</si>
  <si>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</si>
  <si>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</si>
  <si>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</si>
  <si>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</si>
  <si>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</si>
  <si>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</si>
  <si>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</si>
  <si>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</si>
  <si>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</si>
  <si>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</si>
  <si>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</si>
  <si>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</si>
  <si>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</si>
  <si>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</si>
  <si>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</si>
  <si>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</si>
  <si>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</si>
  <si>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</si>
  <si>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</si>
  <si>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</si>
  <si>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</si>
  <si>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</si>
  <si>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</si>
  <si>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</si>
  <si>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</si>
  <si>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</si>
  <si>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</si>
  <si>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</si>
  <si>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</si>
  <si>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</si>
  <si>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</si>
  <si>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</si>
  <si>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</si>
  <si>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</si>
  <si>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</si>
  <si>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</si>
  <si>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</si>
  <si>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</si>
  <si>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</si>
  <si>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</si>
  <si>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</si>
  <si>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</si>
  <si>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</si>
  <si>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</si>
  <si>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</si>
  <si>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</si>
  <si>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</si>
  <si>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</si>
  <si>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</si>
  <si>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</si>
  <si>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</si>
  <si>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</si>
  <si>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</si>
  <si>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</si>
  <si>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</si>
  <si>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</si>
  <si>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</si>
  <si>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</si>
  <si>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</si>
  <si>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</si>
  <si>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</si>
  <si>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</si>
  <si>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</si>
  <si>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</si>
  <si>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</si>
  <si>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</si>
  <si>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</si>
  <si>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</si>
  <si>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</si>
  <si>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</si>
  <si>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</si>
  <si>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</si>
  <si>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</si>
  <si>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</si>
  <si>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</si>
  <si>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</si>
  <si>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</si>
  <si>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</si>
  <si>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</si>
  <si>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</si>
  <si>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</si>
  <si>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</si>
  <si>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</si>
  <si>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</si>
  <si>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</si>
  <si>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</si>
  <si>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</si>
  <si>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</si>
  <si>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</si>
  <si>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</si>
  <si>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</si>
  <si>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</si>
  <si>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</si>
  <si>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</si>
  <si>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</si>
  <si>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</si>
  <si>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</si>
  <si>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</si>
  <si>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</si>
  <si>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</si>
  <si>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</si>
  <si>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</si>
  <si>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</si>
  <si>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</si>
  <si>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</si>
  <si>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</si>
  <si>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</si>
  <si>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</si>
  <si>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</si>
  <si>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</si>
  <si>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</si>
  <si>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</si>
  <si>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</si>
  <si>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</si>
  <si>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</si>
  <si>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</si>
  <si>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</si>
  <si>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</si>
  <si>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</si>
  <si>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</si>
  <si>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</si>
  <si>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</si>
  <si>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</si>
  <si>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</si>
  <si>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</si>
  <si>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</si>
  <si>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</si>
  <si>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</si>
  <si>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</si>
  <si>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</si>
  <si>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</si>
  <si>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</si>
  <si>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</si>
  <si>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</si>
  <si>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</si>
  <si>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</si>
  <si>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</si>
  <si>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</si>
  <si>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</si>
  <si>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</si>
  <si>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</si>
  <si>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</si>
  <si>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</si>
  <si>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</si>
  <si>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</si>
  <si>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</si>
  <si>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</si>
  <si>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</si>
  <si>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</si>
  <si>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</si>
  <si>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</si>
  <si>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</si>
  <si>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</si>
  <si>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</si>
  <si>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</si>
  <si>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</si>
  <si>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</si>
  <si>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</si>
  <si>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</si>
  <si>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</si>
  <si>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</si>
  <si>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</si>
  <si>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</si>
  <si>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</si>
  <si>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</si>
  <si>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</si>
  <si>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</si>
  <si>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</si>
  <si>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</si>
  <si>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</si>
  <si>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</si>
  <si>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</si>
  <si>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</si>
  <si>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</si>
  <si>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</si>
  <si>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</si>
  <si>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</si>
  <si>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</si>
  <si>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</si>
  <si>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</si>
  <si>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</si>
  <si>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</si>
  <si>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</si>
  <si>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</si>
  <si>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</si>
  <si>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</si>
  <si>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</si>
  <si>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</si>
  <si>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</si>
  <si>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</si>
  <si>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</si>
  <si>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</si>
  <si>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</si>
  <si>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</si>
  <si>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</si>
  <si>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</si>
  <si>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</si>
  <si>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</si>
  <si>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</si>
  <si>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</si>
  <si>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</si>
  <si>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</si>
  <si>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</si>
  <si>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</si>
  <si>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</si>
  <si>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</si>
  <si>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</si>
  <si>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</si>
  <si>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</si>
  <si>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</si>
  <si>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</si>
  <si>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</si>
  <si>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</si>
  <si>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</si>
  <si>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</si>
  <si>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</si>
  <si>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</si>
  <si>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</si>
  <si>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</si>
  <si>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</si>
  <si>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</si>
  <si>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</si>
  <si>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</si>
  <si>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</si>
  <si>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</si>
  <si>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</si>
  <si>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</si>
  <si>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</si>
  <si>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</si>
  <si>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</si>
  <si>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</si>
  <si>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</si>
  <si>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</si>
  <si>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</si>
  <si>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</si>
  <si>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</si>
  <si>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</si>
  <si>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</si>
  <si>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</si>
  <si>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</si>
  <si>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</si>
  <si>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</si>
  <si>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</si>
  <si>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</si>
  <si>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</si>
  <si>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</si>
  <si>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</si>
  <si>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</si>
  <si>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</si>
  <si>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</si>
  <si>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</si>
  <si>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</si>
  <si>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</si>
  <si>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</si>
  <si>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</si>
  <si>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</si>
  <si>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</si>
  <si>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</si>
  <si>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</si>
  <si>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</si>
  <si>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</si>
  <si>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</si>
  <si>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</si>
  <si>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</si>
  <si>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</si>
  <si>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</si>
  <si>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</si>
  <si>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</si>
  <si>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</si>
  <si>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</si>
  <si>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</si>
  <si>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</si>
  <si>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</si>
  <si>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</si>
  <si>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</si>
  <si>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</si>
  <si>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</si>
  <si>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</si>
  <si>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</si>
  <si>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</si>
  <si>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</si>
  <si>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</si>
  <si>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</si>
  <si>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</si>
  <si>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</si>
  <si>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</si>
  <si>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</si>
  <si>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</si>
  <si>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</si>
  <si>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</si>
  <si>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</si>
  <si>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</si>
  <si>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</si>
  <si>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</si>
  <si>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</si>
  <si>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</si>
  <si>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</si>
  <si>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</si>
  <si>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</si>
  <si>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</si>
  <si>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</si>
  <si>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</si>
  <si>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</si>
  <si>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</si>
  <si>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</si>
  <si>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</si>
  <si>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</si>
  <si>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</si>
  <si>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</si>
  <si>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</si>
  <si>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</si>
  <si>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</si>
  <si>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</si>
  <si>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</si>
  <si>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</si>
  <si>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</si>
  <si>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</si>
  <si>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</si>
  <si>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</si>
  <si>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</si>
  <si>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</si>
  <si>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</si>
  <si>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</si>
  <si>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</si>
  <si>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</si>
  <si>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</si>
  <si>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</si>
  <si>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</si>
  <si>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</si>
  <si>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</si>
  <si>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</si>
  <si>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</si>
  <si>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</si>
  <si>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</si>
  <si>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</si>
  <si>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</si>
  <si>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</si>
  <si>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</si>
  <si>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</si>
  <si>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</si>
  <si>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</si>
  <si>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</si>
  <si>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</si>
  <si>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</si>
  <si>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</si>
  <si>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</si>
  <si>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</si>
  <si>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</si>
  <si>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</si>
  <si>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</si>
  <si>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</si>
  <si>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</si>
  <si>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</si>
  <si>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</si>
  <si>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</si>
  <si>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</si>
  <si>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</si>
  <si>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</si>
  <si>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</si>
  <si>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</si>
  <si>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</si>
  <si>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</si>
  <si>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</si>
  <si>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</si>
  <si>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</si>
  <si>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</si>
  <si>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</si>
  <si>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</si>
  <si>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</si>
  <si>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</si>
  <si>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</si>
  <si>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</si>
  <si>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</si>
  <si>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</si>
  <si>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</si>
  <si>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</si>
  <si>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</si>
  <si>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</si>
  <si>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</si>
  <si>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</si>
  <si>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</si>
  <si>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</si>
  <si>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</si>
  <si>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</si>
  <si>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</si>
  <si>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</si>
  <si>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</si>
  <si>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</si>
  <si>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</si>
  <si>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</si>
  <si>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</si>
  <si>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</si>
  <si>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</si>
  <si>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</si>
  <si>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</si>
  <si>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</si>
  <si>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</si>
  <si>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</si>
  <si>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</si>
  <si>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</si>
  <si>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</si>
  <si>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</si>
  <si>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</si>
  <si>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</si>
  <si>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</si>
  <si>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</si>
  <si>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</si>
  <si>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</si>
  <si>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</si>
  <si>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</si>
  <si>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</si>
  <si>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</si>
  <si>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</si>
  <si>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</si>
  <si>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</si>
  <si>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</si>
  <si>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</si>
  <si>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</si>
  <si>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</si>
  <si>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</si>
  <si>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</si>
  <si>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</si>
  <si>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</si>
  <si>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</si>
  <si>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</si>
  <si>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</si>
  <si>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</si>
  <si>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</si>
  <si>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</si>
  <si>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</si>
  <si>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</si>
  <si>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</si>
  <si>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</si>
  <si>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</si>
  <si>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</si>
  <si>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</si>
  <si>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</si>
  <si>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</si>
  <si>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</si>
  <si>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</si>
  <si>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</si>
  <si>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</si>
  <si>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</si>
  <si>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</si>
  <si>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</si>
  <si>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</si>
  <si>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</si>
  <si>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</si>
  <si>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</si>
  <si>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</si>
  <si>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</si>
  <si>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</si>
  <si>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</si>
  <si>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</si>
  <si>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</si>
  <si>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</si>
  <si>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</si>
  <si>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</si>
  <si>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</si>
  <si>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</si>
  <si>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</si>
  <si>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</si>
  <si>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</si>
  <si>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</si>
  <si>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</si>
  <si>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</si>
  <si>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</si>
  <si>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</si>
  <si>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</si>
  <si>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</si>
  <si>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</si>
  <si>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</si>
  <si>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</si>
  <si>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</si>
  <si>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</si>
  <si>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</si>
  <si>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</si>
  <si>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</si>
  <si>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</si>
  <si>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</si>
  <si>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</si>
  <si>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</si>
  <si>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</si>
  <si>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</si>
  <si>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</si>
  <si>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</si>
  <si>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</si>
  <si>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</si>
  <si>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</si>
  <si>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</si>
  <si>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</si>
  <si>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</si>
  <si>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</si>
  <si>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</si>
  <si>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</si>
  <si>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</si>
  <si>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</si>
  <si>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</si>
  <si>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</si>
  <si>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</si>
  <si>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</si>
  <si>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</si>
  <si>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</si>
  <si>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</si>
  <si>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</si>
  <si>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</si>
  <si>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</si>
  <si>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</si>
  <si>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</si>
  <si>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</si>
  <si>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</si>
  <si>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</si>
  <si>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</si>
  <si>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</si>
  <si>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</si>
  <si>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</si>
  <si>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</si>
  <si>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</si>
  <si>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</si>
  <si>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</si>
  <si>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</si>
  <si>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</si>
  <si>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</si>
  <si>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</si>
  <si>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</si>
  <si>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</si>
  <si>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</si>
  <si>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</si>
  <si>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</si>
  <si>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</si>
  <si>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</si>
  <si>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</si>
  <si>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</si>
  <si>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</si>
  <si>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</si>
  <si>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</si>
  <si>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</si>
  <si>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</si>
  <si>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</si>
  <si>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</si>
  <si>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</si>
  <si>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</si>
  <si>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</si>
  <si>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</si>
  <si>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</si>
  <si>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</si>
  <si>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</si>
  <si>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</si>
  <si>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</si>
  <si>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</si>
  <si>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</si>
  <si>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</si>
  <si>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</si>
  <si>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</si>
  <si>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</si>
  <si>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</si>
  <si>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</si>
  <si>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</si>
  <si>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</si>
  <si>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</si>
  <si>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</si>
  <si>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</si>
  <si>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</si>
  <si>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</si>
  <si>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</si>
  <si>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</si>
  <si>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</si>
  <si>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</si>
  <si>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</si>
  <si>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</si>
  <si>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</si>
  <si>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</si>
  <si>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</si>
  <si>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</si>
  <si>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</si>
  <si>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</si>
  <si>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</si>
  <si>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</si>
  <si>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</si>
  <si>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</si>
  <si>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</si>
  <si>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</si>
  <si>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</si>
  <si>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</si>
  <si>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</si>
  <si>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</si>
  <si>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</si>
  <si>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</si>
  <si>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</si>
  <si>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</si>
  <si>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</si>
  <si>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</si>
  <si>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</si>
  <si>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</si>
  <si>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</si>
  <si>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</si>
  <si>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</si>
  <si>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</si>
  <si>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</si>
  <si>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</si>
  <si>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</si>
  <si>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</si>
  <si>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</si>
  <si>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</si>
  <si>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</si>
  <si>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</si>
  <si>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</si>
  <si>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</si>
  <si>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</si>
  <si>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</si>
  <si>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</si>
  <si>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</si>
  <si>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</si>
  <si>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</si>
  <si>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</si>
  <si>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</si>
  <si>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</si>
  <si>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</si>
  <si>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</si>
  <si>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</si>
  <si>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</si>
  <si>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</si>
  <si>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</si>
  <si>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</si>
  <si>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</si>
  <si>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</si>
  <si>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</si>
  <si>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</si>
  <si>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</si>
  <si>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</si>
  <si>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</si>
  <si>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</si>
  <si>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</si>
  <si>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</si>
  <si>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</si>
  <si>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</si>
  <si>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</si>
  <si>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</si>
  <si>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</si>
  <si>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</si>
  <si>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</si>
  <si>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</si>
  <si>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</si>
  <si>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</si>
  <si>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</si>
  <si>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</si>
  <si>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</si>
  <si>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</si>
  <si>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</si>
  <si>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</si>
  <si>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</si>
  <si>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</si>
  <si>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</si>
  <si>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</si>
  <si>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</si>
  <si>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</si>
  <si>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</si>
  <si>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</si>
  <si>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</si>
  <si>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</si>
  <si>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</si>
  <si>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</si>
  <si>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</si>
  <si>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</si>
  <si>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</si>
  <si>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</si>
  <si>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</si>
  <si>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</si>
  <si>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</si>
  <si>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</si>
  <si>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</si>
  <si>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</si>
  <si>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</si>
  <si>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</si>
  <si>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</si>
  <si>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</si>
  <si>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</si>
  <si>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</si>
  <si>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</si>
  <si>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</si>
  <si>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</si>
  <si>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</si>
  <si>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</si>
  <si>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</si>
  <si>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</si>
  <si>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</si>
  <si>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</si>
  <si>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</si>
  <si>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</si>
  <si>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</si>
  <si>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</si>
  <si>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</si>
  <si>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</si>
  <si>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</si>
  <si>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</si>
  <si>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</si>
  <si>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</si>
  <si>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</si>
  <si>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</si>
  <si>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</si>
  <si>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</si>
  <si>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</si>
  <si>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</si>
  <si>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</si>
  <si>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</si>
  <si>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</si>
  <si>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</si>
  <si>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</si>
  <si>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</si>
  <si>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</si>
  <si>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</si>
  <si>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</si>
  <si>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</si>
  <si>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</si>
  <si>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</si>
  <si>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</si>
  <si>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</si>
  <si>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</si>
  <si>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</si>
  <si>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</si>
  <si>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</si>
  <si>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</si>
  <si>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</si>
  <si>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</si>
  <si>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</si>
  <si>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</si>
  <si>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</si>
  <si>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</si>
  <si>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</si>
  <si>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</si>
  <si>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</si>
  <si>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</si>
  <si>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</si>
  <si>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</si>
  <si>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</si>
  <si>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</si>
  <si>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</si>
  <si>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</si>
  <si>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</si>
  <si>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</si>
  <si>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</si>
  <si>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</si>
  <si>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</si>
  <si>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</si>
  <si>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</si>
  <si>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</si>
  <si>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</si>
  <si>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</si>
  <si>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</si>
  <si>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</si>
  <si>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</si>
  <si>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</si>
  <si>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</si>
  <si>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</si>
  <si>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</si>
  <si>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</si>
  <si>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</si>
  <si>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</si>
  <si>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</si>
  <si>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</si>
  <si>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</si>
  <si>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</si>
  <si>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</si>
  <si>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</si>
  <si>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</si>
  <si>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</si>
  <si>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</si>
  <si>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</si>
  <si>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</si>
  <si>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</si>
  <si>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</si>
  <si>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</si>
  <si>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</si>
  <si>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</si>
  <si>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</si>
  <si>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</si>
  <si>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</si>
  <si>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</si>
  <si>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</si>
  <si>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</si>
  <si>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</si>
  <si>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</si>
  <si>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</si>
  <si>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</si>
  <si>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</si>
  <si>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</si>
  <si>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</si>
  <si>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</si>
  <si>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</si>
  <si>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</si>
  <si>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</si>
  <si>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</si>
  <si>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</si>
  <si>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</si>
  <si>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</si>
  <si>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</si>
  <si>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</si>
  <si>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</si>
  <si>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</si>
  <si>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</si>
  <si>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</si>
  <si>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</si>
  <si>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</si>
  <si>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</si>
  <si>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</si>
  <si>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</si>
  <si>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</si>
  <si>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</si>
  <si>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</si>
  <si>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</si>
  <si>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</si>
  <si>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</si>
  <si>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</si>
  <si>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</si>
  <si>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</si>
  <si>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</si>
  <si>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</si>
  <si>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</si>
  <si>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</si>
  <si>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</si>
  <si>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</si>
  <si>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</si>
  <si>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</si>
  <si>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</si>
  <si>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</si>
  <si>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</si>
  <si>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</si>
  <si>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</si>
  <si>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</si>
  <si>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</si>
  <si>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</si>
  <si>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</si>
  <si>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</si>
  <si>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</si>
  <si>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</si>
  <si>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</si>
  <si>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</si>
  <si>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</si>
  <si>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</si>
  <si>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</si>
  <si>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</si>
  <si>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</si>
  <si>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</si>
  <si>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</si>
  <si>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</si>
  <si>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</si>
  <si>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</si>
  <si>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</si>
  <si>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</si>
  <si>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</si>
  <si>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</si>
  <si>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</si>
  <si>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</si>
  <si>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</si>
  <si>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</si>
  <si>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</si>
  <si>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</si>
  <si>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</si>
  <si>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</si>
  <si>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</si>
  <si>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</si>
  <si>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</si>
  <si>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</si>
  <si>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</si>
  <si>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</si>
  <si>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</si>
  <si>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</si>
  <si>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</si>
  <si>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</si>
  <si>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</si>
  <si>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</si>
  <si>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</si>
  <si>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</si>
  <si>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</si>
  <si>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</si>
  <si>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</si>
  <si>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</si>
  <si>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</si>
  <si>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</si>
  <si>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</si>
  <si>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</si>
  <si>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</si>
  <si>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</si>
  <si>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</si>
  <si>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</si>
  <si>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</si>
  <si>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</si>
  <si>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</si>
  <si>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</si>
  <si>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</si>
  <si>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</si>
  <si>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</si>
  <si>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</si>
  <si>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</si>
  <si>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</si>
  <si>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</si>
  <si>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</si>
  <si>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</si>
  <si>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</si>
  <si>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</si>
  <si>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</si>
  <si>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</si>
  <si>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</si>
  <si>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</si>
  <si>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</si>
  <si>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</si>
  <si>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</si>
  <si>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</si>
  <si>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</si>
  <si>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</si>
  <si>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</si>
  <si>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</si>
  <si>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</si>
  <si>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</si>
  <si>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</si>
  <si>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</si>
  <si>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</si>
  <si>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</si>
  <si>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</si>
  <si>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</si>
  <si>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</si>
  <si>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</si>
  <si>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</si>
  <si>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</si>
  <si>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</si>
  <si>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</si>
  <si>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</si>
  <si>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</si>
  <si>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</si>
  <si>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</si>
  <si>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</si>
  <si>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</si>
  <si>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</si>
  <si>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</si>
  <si>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</si>
  <si>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</si>
  <si>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</si>
  <si>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</si>
  <si>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</si>
  <si>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</si>
  <si>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</si>
  <si>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</si>
  <si>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</si>
  <si>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</si>
  <si>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</si>
  <si>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</si>
  <si>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</si>
  <si>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</si>
  <si>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</si>
  <si>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</si>
  <si>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</si>
  <si>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</si>
  <si>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</si>
  <si>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</si>
  <si>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</si>
  <si>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</si>
  <si>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</si>
  <si>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</si>
  <si>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</si>
  <si>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</si>
  <si>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</si>
  <si>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</si>
  <si>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</si>
  <si>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</si>
  <si>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</si>
  <si>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</si>
  <si>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</si>
  <si>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</si>
  <si>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</si>
  <si>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</si>
  <si>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</si>
  <si>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</si>
  <si>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</si>
  <si>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</si>
  <si>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</si>
  <si>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</si>
  <si>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</si>
  <si>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</si>
  <si>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</si>
  <si>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</si>
  <si>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</si>
  <si>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</si>
  <si>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</si>
  <si>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</si>
  <si>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</si>
  <si>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</si>
  <si>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</si>
  <si>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</si>
  <si>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</si>
  <si>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</si>
  <si>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</si>
  <si>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</si>
  <si>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</si>
  <si>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</si>
  <si>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</si>
  <si>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</si>
  <si>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</si>
  <si>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</si>
  <si>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</si>
  <si>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</si>
  <si>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</si>
  <si>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</si>
  <si>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</si>
  <si>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</si>
  <si>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</si>
  <si>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</si>
  <si>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</si>
  <si>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</si>
  <si>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</si>
  <si>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</si>
  <si>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</si>
  <si>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</si>
  <si>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</si>
  <si>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</si>
  <si>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</si>
  <si>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</si>
  <si>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</si>
  <si>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</si>
  <si>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</si>
  <si>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</si>
  <si>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</si>
  <si>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</si>
  <si>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</si>
  <si>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</si>
  <si>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</si>
  <si>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</si>
  <si>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</si>
  <si>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</si>
  <si>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</si>
  <si>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</si>
  <si>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</si>
  <si>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</si>
  <si>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</si>
  <si>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</si>
  <si>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</si>
  <si>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</si>
  <si>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</si>
  <si>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</si>
  <si>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</si>
  <si>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</si>
  <si>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</si>
  <si>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</si>
  <si>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</si>
  <si>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</si>
  <si>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</si>
  <si>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</si>
  <si>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</si>
  <si>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</si>
  <si>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</si>
  <si>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</si>
  <si>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</si>
  <si>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</si>
  <si>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</si>
  <si>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</si>
  <si>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</si>
  <si>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</si>
  <si>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</si>
  <si>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</si>
  <si>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</si>
  <si>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</si>
  <si>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</si>
  <si>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</si>
  <si>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</si>
  <si>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</si>
  <si>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</si>
  <si>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</si>
  <si>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</si>
  <si>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</si>
  <si>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</si>
  <si>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</si>
  <si>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</si>
  <si>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</si>
  <si>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</si>
  <si>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</si>
  <si>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</si>
  <si>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</si>
  <si>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</si>
  <si>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</si>
  <si>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</si>
  <si>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</si>
  <si>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</si>
  <si>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</si>
  <si>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</si>
  <si>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</si>
  <si>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</si>
  <si>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</si>
  <si>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</si>
  <si>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</si>
  <si>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</si>
  <si>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</si>
  <si>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</si>
  <si>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</si>
  <si>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</si>
  <si>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</si>
  <si>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</si>
  <si>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</si>
  <si>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</si>
  <si>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</si>
  <si>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</si>
  <si>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</si>
  <si>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</si>
  <si>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</si>
  <si>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</si>
  <si>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</si>
  <si>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</si>
  <si>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</si>
  <si>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</si>
  <si>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</si>
  <si>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</si>
  <si>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</si>
  <si>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</si>
  <si>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</si>
  <si>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</si>
  <si>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</si>
  <si>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</si>
  <si>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</si>
  <si>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</si>
  <si>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</si>
  <si>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</si>
  <si>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</si>
  <si>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</si>
  <si>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</si>
  <si>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</si>
  <si>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</si>
  <si>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</si>
  <si>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</si>
  <si>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</si>
  <si>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</si>
  <si>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</si>
  <si>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</si>
  <si>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</si>
  <si>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</si>
  <si>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</si>
  <si>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</si>
  <si>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</si>
  <si>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</si>
  <si>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</si>
  <si>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</si>
  <si>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</si>
  <si>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</si>
  <si>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</si>
  <si>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</si>
  <si>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</si>
  <si>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</si>
  <si>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</si>
  <si>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</si>
  <si>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</si>
  <si>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</si>
  <si>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</si>
  <si>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</si>
  <si>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</si>
  <si>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</si>
  <si>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</si>
  <si>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</si>
  <si>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</si>
  <si>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</si>
  <si>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</si>
  <si>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</si>
  <si>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</si>
  <si>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</si>
  <si>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</si>
  <si>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</si>
  <si>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</si>
  <si>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</si>
  <si>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</si>
  <si>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</si>
  <si>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</si>
  <si>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</si>
  <si>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</si>
  <si>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</si>
  <si>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</si>
  <si>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</si>
  <si>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</si>
  <si>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</si>
  <si>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</si>
  <si>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</si>
  <si>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</si>
  <si>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</si>
  <si>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</si>
  <si>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</si>
  <si>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</si>
  <si>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</si>
  <si>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</si>
  <si>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</si>
  <si>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</si>
  <si>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</si>
  <si>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</si>
  <si>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</si>
  <si>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</si>
  <si>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</si>
  <si>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</si>
  <si>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</si>
  <si>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</si>
  <si>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</si>
  <si>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</si>
  <si>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</si>
  <si>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</si>
  <si>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</si>
  <si>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</si>
  <si>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</si>
  <si>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</si>
  <si>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</si>
  <si>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</si>
  <si>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</si>
  <si>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</si>
  <si>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</si>
  <si>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</si>
  <si>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</si>
  <si>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</si>
  <si>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</si>
  <si>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</si>
  <si>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</si>
  <si>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</si>
  <si>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</si>
  <si>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</si>
  <si>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</si>
  <si>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</si>
  <si>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</si>
  <si>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</si>
  <si>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</si>
  <si>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</si>
  <si>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</si>
  <si>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</si>
  <si>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</si>
  <si>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</si>
  <si>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</si>
  <si>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</si>
  <si>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</si>
  <si>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</si>
  <si>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</si>
  <si>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</si>
  <si>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</si>
  <si>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</si>
  <si>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</si>
  <si>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</si>
  <si>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</si>
  <si>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</si>
  <si>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</si>
  <si>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</si>
  <si>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</si>
  <si>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</si>
  <si>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</si>
  <si>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</si>
  <si>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</si>
  <si>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</si>
  <si>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</si>
  <si>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</si>
  <si>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</si>
  <si>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</si>
  <si>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</si>
  <si>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</si>
  <si>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</si>
  <si>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</si>
  <si>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</si>
  <si>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</si>
  <si>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</si>
  <si>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</si>
  <si>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</si>
  <si>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</si>
  <si>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</si>
  <si>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</si>
  <si>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</si>
  <si>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</si>
  <si>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</si>
  <si>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</si>
  <si>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</si>
  <si>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</si>
  <si>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</si>
  <si>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</si>
  <si>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</si>
  <si>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</si>
  <si>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</si>
  <si>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</si>
  <si>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</si>
  <si>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</si>
  <si>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</si>
  <si>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</si>
  <si>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</si>
  <si>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</si>
  <si>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</si>
  <si>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</si>
  <si>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</si>
  <si>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</si>
  <si>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</si>
  <si>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</si>
  <si>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</si>
  <si>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</si>
  <si>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</si>
  <si>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</si>
  <si>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</si>
  <si>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</si>
  <si>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</si>
  <si>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</si>
  <si>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</si>
  <si>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</si>
  <si>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</si>
  <si>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</si>
  <si>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</si>
  <si>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</si>
  <si>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</si>
  <si>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</si>
  <si>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</si>
  <si>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</si>
  <si>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</si>
  <si>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</si>
  <si>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</si>
  <si>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</si>
  <si>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</si>
  <si>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</si>
  <si>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</si>
  <si>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</si>
  <si>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</si>
  <si>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</si>
  <si>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</si>
  <si>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</si>
  <si>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</si>
  <si>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</si>
  <si>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</si>
  <si>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</si>
  <si>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</si>
  <si>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</si>
  <si>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</si>
  <si>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</si>
  <si>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</si>
  <si>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</si>
  <si>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</si>
  <si>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</si>
  <si>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</si>
  <si>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</si>
  <si>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</si>
  <si>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</si>
  <si>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</si>
  <si>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</si>
  <si>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</si>
  <si>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</si>
  <si>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</si>
  <si>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</si>
  <si>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</si>
  <si>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</si>
  <si>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</si>
  <si>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</si>
  <si>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</si>
  <si>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</si>
  <si>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</si>
  <si>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</si>
  <si>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</si>
  <si>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</si>
  <si>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</si>
  <si>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</si>
  <si>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</si>
  <si>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</si>
  <si>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</si>
  <si>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</si>
  <si>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</si>
  <si>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</si>
  <si>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</si>
  <si>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</si>
  <si>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</si>
  <si>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</si>
  <si>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</si>
  <si>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</si>
  <si>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</si>
  <si>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</si>
  <si>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</si>
  <si>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</si>
  <si>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</si>
  <si>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</si>
  <si>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</si>
  <si>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</si>
  <si>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</si>
  <si>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</si>
  <si>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</si>
  <si>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</si>
  <si>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</si>
  <si>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</si>
  <si>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</si>
  <si>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</si>
  <si>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</si>
  <si>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</si>
  <si>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</si>
  <si>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</si>
  <si>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</si>
  <si>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</si>
  <si>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</si>
  <si>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</si>
  <si>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</si>
  <si>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</si>
  <si>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</si>
  <si>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</si>
  <si>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</si>
  <si>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</si>
  <si>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</si>
  <si>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</si>
  <si>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</si>
  <si>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</si>
  <si>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</si>
  <si>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</si>
  <si>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</si>
  <si>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</si>
  <si>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</si>
  <si>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</si>
  <si>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</si>
  <si>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</si>
  <si>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</si>
  <si>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</si>
  <si>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</si>
  <si>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</si>
  <si>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</si>
  <si>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</si>
  <si>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</si>
  <si>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</si>
  <si>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</si>
  <si>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</si>
  <si>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</si>
  <si>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</si>
  <si>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</si>
  <si>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</si>
  <si>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</si>
  <si>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</si>
  <si>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</si>
  <si>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</si>
  <si>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</si>
  <si>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</si>
  <si>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</si>
  <si>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</si>
  <si>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</si>
  <si>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</si>
  <si>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</si>
  <si>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</si>
  <si>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</si>
  <si>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</si>
  <si>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</si>
  <si>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</si>
  <si>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</si>
  <si>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</si>
  <si>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</si>
  <si>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</si>
  <si>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</si>
  <si>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</si>
  <si>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</si>
  <si>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</si>
  <si>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</si>
  <si>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</si>
  <si>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</si>
  <si>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</si>
  <si>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</si>
  <si>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</si>
  <si>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</si>
  <si>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</si>
  <si>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</si>
  <si>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</si>
  <si>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</si>
  <si>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</si>
  <si>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</si>
  <si>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</si>
  <si>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</si>
  <si>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</si>
  <si>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</si>
  <si>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</si>
  <si>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</si>
  <si>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</si>
  <si>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</si>
  <si>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</si>
  <si>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</si>
  <si>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</si>
  <si>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</si>
  <si>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</si>
  <si>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</si>
  <si>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</si>
  <si>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</si>
  <si>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</si>
  <si>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</si>
  <si>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</si>
  <si>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</si>
  <si>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</si>
  <si>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</si>
  <si>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</si>
  <si>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</si>
  <si>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</si>
  <si>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</si>
  <si>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</si>
  <si>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</si>
  <si>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</si>
  <si>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</si>
  <si>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</si>
  <si>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</si>
  <si>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</si>
  <si>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</si>
  <si>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</si>
  <si>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</si>
  <si>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</si>
  <si>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</si>
  <si>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</si>
  <si>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</si>
  <si>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</si>
  <si>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</si>
  <si>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</si>
  <si>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</si>
  <si>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</si>
  <si>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</si>
  <si>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</si>
  <si>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</si>
  <si>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</si>
  <si>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</si>
  <si>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</si>
  <si>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</si>
  <si>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</si>
  <si>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</si>
  <si>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</si>
  <si>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</si>
  <si>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</si>
  <si>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</si>
  <si>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</si>
  <si>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</si>
  <si>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</si>
  <si>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</si>
  <si>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</si>
  <si>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</si>
  <si>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</si>
  <si>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</si>
  <si>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</si>
  <si>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</si>
  <si>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</si>
  <si>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</si>
  <si>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</si>
  <si>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</si>
  <si>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</si>
  <si>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</si>
  <si>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</si>
  <si>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</si>
  <si>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</si>
  <si>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</si>
  <si>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</si>
  <si>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</si>
  <si>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</si>
  <si>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</si>
  <si>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</si>
  <si>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</si>
  <si>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</si>
  <si>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</si>
  <si>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</si>
  <si>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</si>
  <si>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</si>
  <si>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</si>
  <si>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</si>
  <si>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</si>
  <si>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</si>
  <si>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</si>
  <si>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</si>
  <si>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</si>
  <si>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</si>
  <si>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</si>
  <si>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</si>
  <si>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</si>
  <si>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</si>
  <si>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</si>
  <si>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</si>
  <si>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</si>
  <si>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</si>
  <si>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</si>
  <si>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</si>
  <si>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</si>
  <si>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</si>
  <si>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</si>
  <si>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</si>
  <si>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</si>
  <si>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</si>
  <si>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</si>
  <si>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</si>
  <si>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</si>
  <si>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</si>
  <si>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</si>
  <si>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</si>
  <si>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</si>
  <si>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</si>
  <si>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</si>
  <si>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</si>
  <si>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</si>
  <si>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</si>
  <si>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</si>
  <si>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</si>
  <si>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</si>
  <si>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</si>
  <si>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</si>
  <si>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</si>
  <si>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</si>
  <si>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</si>
  <si>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</si>
  <si>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</si>
  <si>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</si>
  <si>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</si>
  <si>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</si>
  <si>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</si>
  <si>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</si>
  <si>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</si>
  <si>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</si>
  <si>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</si>
  <si>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</si>
  <si>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</si>
  <si>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</si>
  <si>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</si>
  <si>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</si>
  <si>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</si>
  <si>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</si>
  <si>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</si>
  <si>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</si>
  <si>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</si>
  <si>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</si>
  <si>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</si>
  <si>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</si>
  <si>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</si>
  <si>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</si>
  <si>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</si>
  <si>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</si>
  <si>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</si>
  <si>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</si>
  <si>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</si>
  <si>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</si>
  <si>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</si>
  <si>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</si>
  <si>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</si>
  <si>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</si>
  <si>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</si>
  <si>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</si>
  <si>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</si>
  <si>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</si>
  <si>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</si>
  <si>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</si>
  <si>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</si>
  <si>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</si>
  <si>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</si>
  <si>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</si>
  <si>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</si>
  <si>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</si>
  <si>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</si>
  <si>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</si>
  <si>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</si>
  <si>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</si>
  <si>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</si>
  <si>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</si>
  <si>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</si>
  <si>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</si>
  <si>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</si>
  <si>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</si>
  <si>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</si>
  <si>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</si>
  <si>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</si>
  <si>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</si>
  <si>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</si>
  <si>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</si>
  <si>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</si>
  <si>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</si>
  <si>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</si>
  <si>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</si>
  <si>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</si>
  <si>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</si>
  <si>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</si>
  <si>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</si>
  <si>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</si>
  <si>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</si>
  <si>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</si>
  <si>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</si>
  <si>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</si>
  <si>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</si>
  <si>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</si>
  <si>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</si>
  <si>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</si>
  <si>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</si>
  <si>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</si>
  <si>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</si>
  <si>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</si>
  <si>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</si>
  <si>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</si>
  <si>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</si>
  <si>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</si>
  <si>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</si>
  <si>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</si>
  <si>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</si>
  <si>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</si>
  <si>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</si>
  <si>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</si>
  <si>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</si>
  <si>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</si>
  <si>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</si>
  <si>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</si>
  <si>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</si>
  <si>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</si>
  <si>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</si>
  <si>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</si>
  <si>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</si>
  <si>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</si>
  <si>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</si>
  <si>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</si>
  <si>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</si>
  <si>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</si>
  <si>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</si>
  <si>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</si>
  <si>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</si>
  <si>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</si>
  <si>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</si>
  <si>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</si>
  <si>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</si>
  <si>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</si>
  <si>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</si>
  <si>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</si>
  <si>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</si>
  <si>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</si>
  <si>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</si>
  <si>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</si>
  <si>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</si>
  <si>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</si>
  <si>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</si>
  <si>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</si>
  <si>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</si>
  <si>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</si>
  <si>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</si>
  <si>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</si>
  <si>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</si>
  <si>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</si>
  <si>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</si>
  <si>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</si>
  <si>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</si>
  <si>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</si>
  <si>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</si>
  <si>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</si>
  <si>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</si>
  <si>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</si>
  <si>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</si>
  <si>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</si>
  <si>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</si>
  <si>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</si>
  <si>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</si>
  <si>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</si>
  <si>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</si>
  <si>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</si>
  <si>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</si>
  <si>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</si>
  <si>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</si>
  <si>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</si>
  <si>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</si>
  <si>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</si>
  <si>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</si>
  <si>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</si>
  <si>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</si>
  <si>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</si>
  <si>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</si>
  <si>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</si>
  <si>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</si>
  <si>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</si>
  <si>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</si>
  <si>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</si>
  <si>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</si>
  <si>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</si>
  <si>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</si>
  <si>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</si>
  <si>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</si>
  <si>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</si>
  <si>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</si>
  <si>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</si>
  <si>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</si>
  <si>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</si>
  <si>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</si>
  <si>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</si>
  <si>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</si>
  <si>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</si>
  <si>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</si>
  <si>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</si>
  <si>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</si>
  <si>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</si>
  <si>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</si>
  <si>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</si>
  <si>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</si>
  <si>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</si>
  <si>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</si>
  <si>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</si>
  <si>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</si>
  <si>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</si>
  <si>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</si>
  <si>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</si>
  <si>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</si>
  <si>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</si>
  <si>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</si>
  <si>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</si>
  <si>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</si>
  <si>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</si>
  <si>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</si>
  <si>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</si>
  <si>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</si>
  <si>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</si>
  <si>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</si>
  <si>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</si>
  <si>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</si>
  <si>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</si>
  <si>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</si>
  <si>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</si>
  <si>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</si>
  <si>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</si>
  <si>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</si>
  <si>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</si>
  <si>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</si>
  <si>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</si>
  <si>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</si>
  <si>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</si>
  <si>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</si>
  <si>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</si>
  <si>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</si>
  <si>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</si>
  <si>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</si>
  <si>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</si>
  <si>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</si>
  <si>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</si>
  <si>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</si>
  <si>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</si>
  <si>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</si>
  <si>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</si>
  <si>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</si>
  <si>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</si>
  <si>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</si>
  <si>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</si>
  <si>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</si>
  <si>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</si>
  <si>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</si>
  <si>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</si>
  <si>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</si>
  <si>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</si>
  <si>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</si>
  <si>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</si>
  <si>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</si>
  <si>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</si>
  <si>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</si>
  <si>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</si>
  <si>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</si>
  <si>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</si>
  <si>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</si>
  <si>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</si>
  <si>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</si>
  <si>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</si>
  <si>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</si>
  <si>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</si>
  <si>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</si>
  <si>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</si>
  <si>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</si>
  <si>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</si>
  <si>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</si>
  <si>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</si>
  <si>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</si>
  <si>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</si>
  <si>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</si>
  <si>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</si>
  <si>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</si>
  <si>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</si>
  <si>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</si>
  <si>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</si>
  <si>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</si>
  <si>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</si>
  <si>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</si>
  <si>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</si>
  <si>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</si>
  <si>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</si>
  <si>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</si>
  <si>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</si>
  <si>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</si>
  <si>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</si>
  <si>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</si>
  <si>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</si>
  <si>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</si>
  <si>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</si>
  <si>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</si>
  <si>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</si>
  <si>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</si>
  <si>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</si>
  <si>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</si>
  <si>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</si>
  <si>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</si>
  <si>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</si>
  <si>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</si>
  <si>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</si>
  <si>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</si>
  <si>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</si>
  <si>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</si>
  <si>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</si>
  <si>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Knight Electronics, Inc.</t>
  </si>
  <si>
    <t>Randy Rivero</t>
  </si>
  <si>
    <t>rrivero@knightelectronics.com</t>
  </si>
  <si>
    <t>214-340-0265</t>
  </si>
  <si>
    <t>John Knight</t>
  </si>
  <si>
    <t>President</t>
  </si>
  <si>
    <t>jknight@knightelectronics.com</t>
  </si>
  <si>
    <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</si>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</sst>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rivero@knightelec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knight@knightelec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8F39B95-F8EE-4C22-A3E7-878934E9A24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943699-7129-4E60-BF91-03818A8F96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AA9" sqref="AA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15824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7C07050-82F4-4459-A307-E22C58905D1D}"/>
    <hyperlink ref="D20" r:id="rId4" xr:uid="{C5F8441B-DF36-4712-BFFA-A00F34F7951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A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763</v>
      </c>
      <c r="B5" s="182" t="str">
        <f ca="1">IF(LEN(A5)=0,"",INDEX('Smelter Look-up'!$A:$A,MATCH($A5,'Smelter Look-up'!$E:$E,0)))</f>
        <v>Tin</v>
      </c>
      <c r="C5" s="186" t="str">
        <f ca="1">IF(LEN(A5)=0,"",INDEX('Smelter Look-up'!$C:$C,MATCH($A5,'Smelter Look-up'!$E:$E,0)))</f>
        <v>Thaisarco</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 ca="1">IF(C5="",NA(),IF(OR(C5="Smelter not listed",C5="Smelter not yet identified"),MATCH($B5&amp;$D5,'Smelter Look-up'!$J:$J,0),MATCH($B5&amp;$C5,'Smelter Look-up'!$J:$J,0)))</f>
        <v>521</v>
      </c>
      <c r="X5" s="227">
        <f t="shared" ref="X5" ca="1" si="0">IF(AND(C5="Smelter not listed",OR(LEN(D5)=0,LEN(E5)=0)),1,0)</f>
        <v>0</v>
      </c>
      <c r="AB5" s="228" t="str">
        <f t="shared" ref="AB5" ca="1" si="1">B5&amp;C5</f>
        <v>TinThaisarco</v>
      </c>
    </row>
    <row r="6" spans="1:34" s="227" customFormat="1" ht="20.100000000000001" customHeight="1">
      <c r="A6" s="262" t="s">
        <v>752</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468</v>
      </c>
      <c r="X6" s="227">
        <f t="shared" ref="X6:X37" ca="1" si="3">IF(AND(C6="Smelter not listed",OR(LEN(D6)=0,LEN(E6)=0)),1,0)</f>
        <v>0</v>
      </c>
      <c r="AB6" s="228" t="str">
        <f t="shared" ref="AB6:AB37" ca="1" si="4">B6&amp;C6</f>
        <v>TinMalaysia Smelting Corporation (MSC)</v>
      </c>
    </row>
    <row r="7" spans="1:34" s="227" customFormat="1" ht="20.100000000000001" customHeight="1">
      <c r="A7" s="262" t="s">
        <v>759</v>
      </c>
      <c r="B7" s="182" t="str">
        <f ca="1">IF(LEN(A7)=0,"",INDEX('Smelter Look-up'!$A:$A,MATCH($A7,'Smelter Look-up'!$E:$E,0)))</f>
        <v>Tin</v>
      </c>
      <c r="C7" s="186" t="str">
        <f ca="1">IF(LEN(A7)=0,"",INDEX('Smelter Look-up'!$C:$C,MATCH($A7,'Smelter Look-up'!$E:$E,0)))</f>
        <v>PT Mitra Stania Prima</v>
      </c>
      <c r="D7" s="230"/>
      <c r="E7" s="182" t="str">
        <f ca="1">IF(ISERROR($V7),"",OFFSET('Smelter Look-up'!$D$4,$V7-4,0)&amp;"")</f>
        <v>INDONESIA</v>
      </c>
      <c r="F7" s="182" t="str">
        <f ca="1">IF(ISERROR($V7),"",OFFSET('Smelter Look-up'!$E$4,$V7-4,0))</f>
        <v>CID001453</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Mitra Stania Prima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502</v>
      </c>
      <c r="X7" s="227">
        <f t="shared" ca="1" si="3"/>
        <v>0</v>
      </c>
      <c r="AB7" s="228" t="str">
        <f t="shared" ca="1" si="4"/>
        <v>TinPT Mitra Stania Prima</v>
      </c>
    </row>
    <row r="8" spans="1:34" s="227" customFormat="1" ht="20.100000000000001" customHeight="1">
      <c r="A8" s="262" t="s">
        <v>760</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510</v>
      </c>
      <c r="X8" s="227">
        <f t="shared" ca="1" si="3"/>
        <v>0</v>
      </c>
      <c r="AB8" s="228" t="str">
        <f t="shared" ca="1" si="4"/>
        <v>TinPT Timah Tbk Mentok</v>
      </c>
    </row>
    <row r="9" spans="1:34" s="227" customFormat="1" ht="20.100000000000001" customHeight="1">
      <c r="A9" s="262" t="s">
        <v>722</v>
      </c>
      <c r="B9" s="182" t="str">
        <f ca="1">IF(LEN(A9)=0,"",INDEX('Smelter Look-up'!$A:$A,MATCH($A9,'Smelter Look-up'!$E:$E,0)))</f>
        <v>Gold</v>
      </c>
      <c r="C9" s="186" t="str">
        <f ca="1">IF(LEN(A9)=0,"",INDEX('Smelter Look-up'!$C:$C,MATCH($A9,'Smelter Look-up'!$E:$E,0)))</f>
        <v>Western Australian Mint (T/a The Perth Mint)</v>
      </c>
      <c r="D9" s="230"/>
      <c r="E9" s="182" t="str">
        <f ca="1">IF(ISERROR($V9),"",OFFSET('Smelter Look-up'!$D$4,$V9-4,0)&amp;"")</f>
        <v>AUSTRALIA</v>
      </c>
      <c r="F9" s="182" t="str">
        <f ca="1">IF(ISERROR($V9),"",OFFSET('Smelter Look-up'!$E$4,$V9-4,0))</f>
        <v>CID002030</v>
      </c>
      <c r="G9" s="182" t="str">
        <f ca="1">IF(C9=$X$4,IF(ISERROR($V9),"Enter smelter details","RMI"),IF(ISERROR($V9),"",OFFSET('Smelter Look-up'!$F$4,$V9-4,0)))</f>
        <v>RMI</v>
      </c>
      <c r="H9" s="183">
        <f ca="1">IF(ISERROR($V9),"",OFFSET('Smelter Look-up'!$G$4,$V9-4,0))</f>
        <v>0</v>
      </c>
      <c r="I9" s="184" t="str">
        <f ca="1">IF(ISERROR($V9),"",OFFSET('Smelter Look-up'!$H$4,$V9-4,0))</f>
        <v>Newburn</v>
      </c>
      <c r="J9" s="184" t="str">
        <f ca="1">IF(ISERROR($V9),"",OFFSET('Smelter Look-up'!$I$4,$V9-4,0))</f>
        <v>Western Australia</v>
      </c>
      <c r="K9" s="224"/>
      <c r="L9" s="224"/>
      <c r="M9" s="224"/>
      <c r="N9" s="224"/>
      <c r="O9" s="224"/>
      <c r="P9" s="185"/>
      <c r="Q9" s="225"/>
      <c r="R9" s="182" t="str">
        <f ca="1">IF(ISERROR($V9),"",OFFSET('Smelter Look-up'!$C$4,$V9-4,0)&amp;"")</f>
        <v>Western Australian Mint (T/a The Perth Mint)</v>
      </c>
      <c r="S9" s="181" t="str">
        <f t="shared" ca="1" si="2"/>
        <v>AU</v>
      </c>
      <c r="T9" s="181" t="str">
        <f ca="1">IF(B9="","",IF(ISERROR(MATCH($J9,SorP!$B$1:$B$6226,0)),"",INDIRECT("'SorP'!$A$"&amp;MATCH($S9&amp;$J9,SorP!C:C,0))))</f>
        <v>AU-WA</v>
      </c>
      <c r="U9" s="201"/>
      <c r="V9" s="226">
        <f ca="1">IF(C9="",NA(),IF(OR(C9="Smelter not listed",C9="Smelter not yet identified"),MATCH($B9&amp;$D9,'Smelter Look-up'!$J:$J,0),MATCH($B9&amp;$C9,'Smelter Look-up'!$J:$J,0)))</f>
        <v>306</v>
      </c>
      <c r="X9" s="227">
        <f t="shared" ca="1" si="3"/>
        <v>0</v>
      </c>
      <c r="AB9" s="228" t="str">
        <f t="shared" ca="1" si="4"/>
        <v>GoldWestern Australian Mint (T/a The Perth Mint)</v>
      </c>
    </row>
    <row r="10" spans="1:34" s="227" customFormat="1" ht="20.100000000000001" customHeight="1">
      <c r="A10" s="262" t="s">
        <v>692</v>
      </c>
      <c r="B10" s="182" t="str">
        <f ca="1">IF(LEN(A10)=0,"",INDEX('Smelter Look-up'!$A:$A,MATCH($A10,'Smelter Look-up'!$E:$E,0)))</f>
        <v>Gold</v>
      </c>
      <c r="C10" s="186" t="str">
        <f ca="1">IF(LEN(A10)=0,"",INDEX('Smelter Look-up'!$C:$C,MATCH($A10,'Smelter Look-up'!$E:$E,0)))</f>
        <v>Mitsui Mining and Smelting Co., Ltd.</v>
      </c>
      <c r="D10" s="230"/>
      <c r="E10" s="182" t="str">
        <f ca="1">IF(ISERROR($V10),"",OFFSET('Smelter Look-up'!$D$4,$V10-4,0)&amp;"")</f>
        <v>JAPAN</v>
      </c>
      <c r="F10" s="182" t="str">
        <f ca="1">IF(ISERROR($V10),"",OFFSET('Smelter Look-up'!$E$4,$V10-4,0))</f>
        <v>CID001193</v>
      </c>
      <c r="G10" s="182" t="str">
        <f ca="1">IF(C10=$X$4,IF(ISERROR($V10),"Enter smelter details","RMI"),IF(ISERROR($V10),"",OFFSET('Smelter Look-up'!$F$4,$V10-4,0)))</f>
        <v>RMI</v>
      </c>
      <c r="H10" s="183">
        <f ca="1">IF(ISERROR($V10),"",OFFSET('Smelter Look-up'!$G$4,$V10-4,0))</f>
        <v>0</v>
      </c>
      <c r="I10" s="184" t="str">
        <f ca="1">IF(ISERROR($V10),"",OFFSET('Smelter Look-up'!$H$4,$V10-4,0))</f>
        <v>Takehara</v>
      </c>
      <c r="J10" s="184" t="str">
        <f ca="1">IF(ISERROR($V10),"",OFFSET('Smelter Look-up'!$I$4,$V10-4,0))</f>
        <v>Hiroshima</v>
      </c>
      <c r="K10" s="224"/>
      <c r="L10" s="224"/>
      <c r="M10" s="224"/>
      <c r="N10" s="224"/>
      <c r="O10" s="224"/>
      <c r="P10" s="185"/>
      <c r="Q10" s="225"/>
      <c r="R10" s="182" t="str">
        <f ca="1">IF(ISERROR($V10),"",OFFSET('Smelter Look-up'!$C$4,$V10-4,0)&amp;"")</f>
        <v>Mitsui Mining and Smelting Co., Ltd.</v>
      </c>
      <c r="S10" s="181" t="str">
        <f t="shared" ca="1" si="2"/>
        <v>JP</v>
      </c>
      <c r="T10" s="181" t="str">
        <f ca="1">IF(B10="","",IF(ISERROR(MATCH($J10,SorP!$B$1:$B$6226,0)),"",INDIRECT("'SorP'!$A$"&amp;MATCH($S10&amp;$J10,SorP!C:C,0))))</f>
        <v>JP-34</v>
      </c>
      <c r="U10" s="201"/>
      <c r="V10" s="226">
        <f ca="1">IF(C10="",NA(),IF(OR(C10="Smelter not listed",C10="Smelter not yet identified"),MATCH($B10&amp;$D10,'Smelter Look-up'!$J:$J,0),MATCH($B10&amp;$C10,'Smelter Look-up'!$J:$J,0)))</f>
        <v>191</v>
      </c>
      <c r="X10" s="227">
        <f t="shared" ca="1" si="3"/>
        <v>0</v>
      </c>
      <c r="AB10" s="228" t="str">
        <f t="shared" ca="1" si="4"/>
        <v>GoldMitsui Mining and Smelting Co., Ltd.</v>
      </c>
    </row>
    <row r="11" spans="1:34" s="227" customFormat="1" ht="20.100000000000001" customHeight="1">
      <c r="A11" s="262" t="s">
        <v>691</v>
      </c>
      <c r="B11" s="182" t="str">
        <f ca="1">IF(LEN(A11)=0,"",INDEX('Smelter Look-up'!$A:$A,MATCH($A11,'Smelter Look-up'!$E:$E,0)))</f>
        <v>Gold</v>
      </c>
      <c r="C11" s="186" t="str">
        <f ca="1">IF(LEN(A11)=0,"",INDEX('Smelter Look-up'!$C:$C,MATCH($A11,'Smelter Look-up'!$E:$E,0)))</f>
        <v>Mitsubishi Materials Corporation</v>
      </c>
      <c r="D11" s="230"/>
      <c r="E11" s="182" t="str">
        <f ca="1">IF(ISERROR($V11),"",OFFSET('Smelter Look-up'!$D$4,$V11-4,0)&amp;"")</f>
        <v>JAPAN</v>
      </c>
      <c r="F11" s="182" t="str">
        <f ca="1">IF(ISERROR($V11),"",OFFSET('Smelter Look-up'!$E$4,$V11-4,0))</f>
        <v>CID001188</v>
      </c>
      <c r="G11" s="182" t="str">
        <f ca="1">IF(C11=$X$4,IF(ISERROR($V11),"Enter smelter details","RMI"),IF(ISERROR($V11),"",OFFSET('Smelter Look-up'!$F$4,$V11-4,0)))</f>
        <v>RMI</v>
      </c>
      <c r="H11" s="183">
        <f ca="1">IF(ISERROR($V11),"",OFFSET('Smelter Look-up'!$G$4,$V11-4,0))</f>
        <v>0</v>
      </c>
      <c r="I11" s="184" t="str">
        <f ca="1">IF(ISERROR($V11),"",OFFSET('Smelter Look-up'!$H$4,$V11-4,0))</f>
        <v>Tokyo</v>
      </c>
      <c r="J11" s="184" t="str">
        <f ca="1">IF(ISERROR($V11),"",OFFSET('Smelter Look-up'!$I$4,$V11-4,0))</f>
        <v>Tokyo</v>
      </c>
      <c r="K11" s="224"/>
      <c r="L11" s="224"/>
      <c r="M11" s="224"/>
      <c r="N11" s="224"/>
      <c r="O11" s="224"/>
      <c r="P11" s="185"/>
      <c r="Q11" s="225"/>
      <c r="R11" s="182" t="str">
        <f ca="1">IF(ISERROR($V11),"",OFFSET('Smelter Look-up'!$C$4,$V11-4,0)&amp;"")</f>
        <v>Mitsubishi Materials Corporation</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189</v>
      </c>
      <c r="X11" s="227">
        <f t="shared" ca="1" si="3"/>
        <v>0</v>
      </c>
      <c r="AB11" s="228" t="str">
        <f t="shared" ca="1" si="4"/>
        <v>GoldMitsubishi Materials Corporation</v>
      </c>
    </row>
    <row r="12" spans="1:34" s="227" customFormat="1" ht="20.100000000000001" customHeight="1">
      <c r="A12" s="262" t="s">
        <v>715</v>
      </c>
      <c r="B12" s="182" t="str">
        <f ca="1">IF(LEN(A12)=0,"",INDEX('Smelter Look-up'!$A:$A,MATCH($A12,'Smelter Look-up'!$E:$E,0)))</f>
        <v>Gold</v>
      </c>
      <c r="C12" s="186" t="str">
        <f ca="1">IF(LEN(A12)=0,"",INDEX('Smelter Look-up'!$C:$C,MATCH($A12,'Smelter Look-up'!$E:$E,0)))</f>
        <v>Shandong Gold Smelting Co., Ltd.</v>
      </c>
      <c r="D12" s="230"/>
      <c r="E12" s="182" t="str">
        <f ca="1">IF(ISERROR($V12),"",OFFSET('Smelter Look-up'!$D$4,$V12-4,0)&amp;"")</f>
        <v>CHINA</v>
      </c>
      <c r="F12" s="182" t="str">
        <f ca="1">IF(ISERROR($V12),"",OFFSET('Smelter Look-up'!$E$4,$V12-4,0))</f>
        <v>CID001916</v>
      </c>
      <c r="G12" s="182" t="str">
        <f ca="1">IF(C12=$X$4,IF(ISERROR($V12),"Enter smelter details","RMI"),IF(ISERROR($V12),"",OFFSET('Smelter Look-up'!$F$4,$V12-4,0)))</f>
        <v>RMI</v>
      </c>
      <c r="H12" s="183">
        <f ca="1">IF(ISERROR($V12),"",OFFSET('Smelter Look-up'!$G$4,$V12-4,0))</f>
        <v>0</v>
      </c>
      <c r="I12" s="184" t="str">
        <f ca="1">IF(ISERROR($V12),"",OFFSET('Smelter Look-up'!$H$4,$V12-4,0))</f>
        <v>Laizhou</v>
      </c>
      <c r="J12" s="184" t="str">
        <f ca="1">IF(ISERROR($V12),"",OFFSET('Smelter Look-up'!$I$4,$V12-4,0))</f>
        <v>Shandong Sheng</v>
      </c>
      <c r="K12" s="224"/>
      <c r="L12" s="224"/>
      <c r="M12" s="224"/>
      <c r="N12" s="224"/>
      <c r="O12" s="224"/>
      <c r="P12" s="185"/>
      <c r="Q12" s="225"/>
      <c r="R12" s="182" t="str">
        <f ca="1">IF(ISERROR($V12),"",OFFSET('Smelter Look-up'!$C$4,$V12-4,0)&amp;"")</f>
        <v>Shandong Gold Smelting Co., Ltd.</v>
      </c>
      <c r="S12" s="181" t="str">
        <f t="shared" ca="1" si="2"/>
        <v>CN</v>
      </c>
      <c r="T12" s="181" t="str">
        <f ca="1">IF(B12="","",IF(ISERROR(MATCH($J12,SorP!$B$1:$B$6226,0)),"",INDIRECT("'SorP'!$A$"&amp;MATCH($S12&amp;$J12,SorP!C:C,0))))</f>
        <v>CN-SD</v>
      </c>
      <c r="U12" s="201"/>
      <c r="V12" s="226">
        <f ca="1">IF(C12="",NA(),IF(OR(C12="Smelter not listed",C12="Smelter not yet identified"),MATCH($B12&amp;$D12,'Smelter Look-up'!$J:$J,0),MATCH($B12&amp;$C12,'Smelter Look-up'!$J:$J,0)))</f>
        <v>247</v>
      </c>
      <c r="X12" s="227">
        <f t="shared" ca="1" si="3"/>
        <v>0</v>
      </c>
      <c r="AB12" s="228" t="str">
        <f t="shared" ca="1" si="4"/>
        <v>GoldShandong Gold Smelting Co., Ltd.</v>
      </c>
    </row>
    <row r="13" spans="1:34" s="227" customFormat="1" ht="20.100000000000001" customHeight="1">
      <c r="A13" s="262" t="s">
        <v>713</v>
      </c>
      <c r="B13" s="182" t="str">
        <f ca="1">IF(LEN(A13)=0,"",INDEX('Smelter Look-up'!$A:$A,MATCH($A13,'Smelter Look-up'!$E:$E,0)))</f>
        <v>Gold</v>
      </c>
      <c r="C13" s="186" t="str">
        <f ca="1">IF(LEN(A13)=0,"",INDEX('Smelter Look-up'!$C:$C,MATCH($A13,'Smelter Look-up'!$E:$E,0)))</f>
        <v>Tanaka Kikinzoku Kogyo K.K.</v>
      </c>
      <c r="D13" s="230"/>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2"/>
        <v>JP</v>
      </c>
      <c r="T13" s="181" t="str">
        <f ca="1">IF(B13="","",IF(ISERROR(MATCH($J13,SorP!$B$1:$B$6226,0)),"",INDIRECT("'SorP'!$A$"&amp;MATCH($S13&amp;$J13,SorP!C:C,0))))</f>
        <v>JP-14</v>
      </c>
      <c r="U13" s="201"/>
      <c r="V13" s="226">
        <f ca="1">IF(C13="",NA(),IF(OR(C13="Smelter not listed",C13="Smelter not yet identified"),MATCH($B13&amp;$D13,'Smelter Look-up'!$J:$J,0),MATCH($B13&amp;$C13,'Smelter Look-up'!$J:$J,0)))</f>
        <v>287</v>
      </c>
      <c r="X13" s="227">
        <f t="shared" ca="1" si="3"/>
        <v>0</v>
      </c>
      <c r="AB13" s="228" t="str">
        <f t="shared" ca="1" si="4"/>
        <v>GoldTanaka Kikinzoku Kogyo K.K.</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706C605-C84F-442B-B565-5F6B245B180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Knight Electronics,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Randy Rivero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rrivero@knightelectronics.com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214-340-0265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Knight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jknight@knightelectronics.com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Randy Rivero</cp:lastModifiedBy>
  <cp:lastPrinted>2015-04-21T20:47:43Z</cp:lastPrinted>
  <dcterms:created xsi:type="dcterms:W3CDTF">2010-06-21T21:00:23Z</dcterms:created>
  <dcterms:modified xsi:type="dcterms:W3CDTF">2026-01-30T15:37:23Z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