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C:\Users\Chart\Documents\"/>
    </mc:Choice>
  </mc:AlternateContent>
  <xr:revisionPtr revIDLastSave="0" documentId="8_{4FA50FE6-8A1B-4D2B-906E-F99D6D73F0A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6140" yWindow="4530" windowWidth="25600" windowHeight="1538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H10" i="5"/>
  <c r="H13" i="5"/>
  <c r="R13" i="5"/>
  <c r="I13" i="5"/>
  <c r="F13" i="5"/>
  <c r="H7" i="5"/>
  <c r="R7" i="5"/>
  <c r="F7" i="5"/>
  <c r="I7" i="5"/>
  <c r="H17" i="5"/>
  <c r="I17" i="5"/>
  <c r="J17" i="5"/>
  <c r="R17" i="5"/>
  <c r="F17" i="5"/>
  <c r="G66" i="6"/>
  <c r="H66" i="6"/>
  <c r="C66" i="6"/>
  <c r="G67" i="6"/>
  <c r="H67" i="6"/>
  <c r="D67" i="6"/>
  <c r="G65" i="6"/>
  <c r="H65" i="6"/>
  <c r="C65" i="6"/>
  <c r="I12" i="5"/>
  <c r="R12" i="5"/>
  <c r="F12" i="5"/>
  <c r="H12" i="5"/>
  <c r="H9" i="5"/>
  <c r="I9" i="5"/>
  <c r="R9" i="5"/>
  <c r="F9" i="5"/>
  <c r="R8" i="5"/>
  <c r="H8" i="5"/>
  <c r="I8" i="5"/>
  <c r="F8" i="5"/>
  <c r="H15" i="5"/>
  <c r="J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6"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<sst xmlns="http://schemas.openxmlformats.org/spreadsheetml/2006/main" count="22337" uniqueCount="15805">
  <si>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</si>
  <si>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</si>
  <si>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</si>
  <si>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</si>
  <si>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</si>
  <si>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</si>
  <si>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</si>
  <si>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</si>
  <si>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</si>
  <si>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</si>
  <si>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</si>
  <si>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</si>
  <si>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</si>
  <si>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</si>
  <si>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</si>
  <si>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</si>
  <si>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</si>
  <si>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</si>
  <si>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</si>
  <si>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</si>
  <si>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</si>
  <si>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</si>
  <si>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</si>
  <si>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</si>
  <si>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</si>
  <si>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</si>
  <si>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</si>
  <si>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</si>
  <si>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</si>
  <si>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</si>
  <si>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</si>
  <si>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</si>
  <si>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</si>
  <si>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</si>
  <si>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</si>
  <si>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</si>
  <si>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</si>
  <si>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</si>
  <si>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</si>
  <si>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</si>
  <si>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</si>
  <si>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</si>
  <si>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</si>
  <si>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</si>
  <si>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</si>
  <si>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</si>
  <si>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</si>
  <si>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</si>
  <si>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</si>
  <si>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</si>
  <si>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</si>
  <si>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</si>
  <si>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</si>
  <si>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</si>
  <si>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</si>
  <si>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</si>
  <si>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</si>
  <si>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</si>
  <si>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</si>
  <si>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</si>
  <si>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</si>
  <si>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</si>
  <si>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</si>
  <si>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</si>
  <si>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</si>
  <si>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</si>
  <si>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</si>
  <si>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</si>
  <si>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</si>
  <si>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</si>
  <si>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</si>
  <si>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</si>
  <si>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</si>
  <si>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</si>
  <si>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</si>
  <si>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</si>
  <si>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</si>
  <si>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</si>
  <si>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</si>
  <si>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</si>
  <si>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</si>
  <si>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</si>
  <si>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</si>
  <si>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</si>
  <si>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</si>
  <si>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</si>
  <si>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</si>
  <si>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</si>
  <si>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</si>
  <si>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</si>
  <si>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</si>
  <si>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</si>
  <si>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</si>
  <si>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</si>
  <si>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</si>
  <si>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</si>
  <si>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</si>
  <si>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</si>
  <si>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</si>
  <si>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</si>
  <si>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</si>
  <si>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</si>
  <si>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</si>
  <si>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</si>
  <si>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</si>
  <si>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</si>
  <si>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</si>
  <si>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</si>
  <si>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</si>
  <si>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</si>
  <si>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</si>
  <si>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</si>
  <si>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</si>
  <si>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</si>
  <si>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</si>
  <si>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</si>
  <si>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</si>
  <si>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</si>
  <si>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</si>
  <si>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</si>
  <si>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</si>
  <si>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</si>
  <si>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</si>
  <si>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</si>
  <si>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</si>
  <si>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</si>
  <si>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</si>
  <si>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</si>
  <si>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</si>
  <si>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</si>
  <si>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</si>
  <si>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</si>
  <si>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</si>
  <si>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</si>
  <si>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</si>
  <si>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</si>
  <si>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</si>
  <si>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</si>
  <si>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</si>
  <si>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</si>
  <si>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</si>
  <si>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</si>
  <si>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</si>
  <si>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</si>
  <si>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</si>
  <si>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</si>
  <si>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</si>
  <si>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</si>
  <si>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</si>
  <si>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</si>
  <si>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</si>
  <si>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</si>
  <si>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</si>
  <si>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</si>
  <si>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</si>
  <si>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</si>
  <si>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</si>
  <si>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</si>
  <si>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</si>
  <si>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</si>
  <si>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</si>
  <si>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</si>
  <si>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</si>
  <si>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</si>
  <si>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</si>
  <si>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</si>
  <si>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</si>
  <si>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</si>
  <si>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</si>
  <si>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</si>
  <si>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</si>
  <si>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</si>
  <si>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</si>
  <si>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</si>
  <si>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</si>
  <si>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</si>
  <si>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</si>
  <si>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</si>
  <si>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</si>
  <si>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</si>
  <si>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</si>
  <si>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</si>
  <si>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</si>
  <si>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</si>
  <si>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</si>
  <si>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</si>
  <si>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</si>
  <si>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</si>
  <si>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</si>
  <si>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</si>
  <si>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</si>
  <si>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</si>
  <si>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</si>
  <si>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</si>
  <si>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</si>
  <si>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</si>
  <si>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</si>
  <si>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</si>
  <si>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</si>
  <si>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</si>
  <si>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</si>
  <si>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</si>
  <si>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</si>
  <si>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</si>
  <si>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</si>
  <si>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</si>
  <si>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</si>
  <si>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</si>
  <si>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</si>
  <si>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</si>
  <si>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</si>
  <si>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</si>
  <si>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</si>
  <si>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</si>
  <si>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</si>
  <si>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</si>
  <si>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</si>
  <si>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</si>
  <si>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</si>
  <si>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</si>
  <si>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</si>
  <si>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</si>
  <si>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</si>
  <si>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</si>
  <si>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</si>
  <si>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</si>
  <si>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</si>
  <si>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</si>
  <si>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</si>
  <si>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</si>
  <si>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</si>
  <si>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</si>
  <si>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</si>
  <si>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</si>
  <si>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</si>
  <si>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</si>
  <si>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</si>
  <si>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</si>
  <si>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</si>
  <si>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</si>
  <si>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</si>
  <si>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</si>
  <si>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</si>
  <si>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</si>
  <si>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</si>
  <si>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</si>
  <si>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</si>
  <si>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</si>
  <si>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</si>
  <si>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</si>
  <si>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</si>
  <si>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</si>
  <si>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</si>
  <si>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</si>
  <si>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</si>
  <si>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</si>
  <si>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</si>
  <si>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</si>
  <si>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</si>
  <si>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</si>
  <si>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</si>
  <si>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</si>
  <si>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</si>
  <si>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</si>
  <si>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</si>
  <si>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</si>
  <si>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</si>
  <si>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</si>
  <si>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</si>
  <si>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</si>
  <si>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</si>
  <si>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</si>
  <si>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</si>
  <si>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</si>
  <si>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</si>
  <si>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</si>
  <si>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</si>
  <si>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</si>
  <si>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</si>
  <si>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</si>
  <si>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</si>
  <si>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</si>
  <si>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</si>
  <si>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</si>
  <si>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</si>
  <si>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</si>
  <si>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</si>
  <si>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</si>
  <si>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</si>
  <si>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</si>
  <si>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</si>
  <si>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</si>
  <si>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</si>
  <si>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</si>
  <si>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</si>
  <si>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</si>
  <si>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</si>
  <si>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</si>
  <si>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</si>
  <si>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</si>
  <si>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</si>
  <si>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</si>
  <si>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</si>
  <si>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</si>
  <si>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</si>
  <si>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</si>
  <si>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</si>
  <si>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</si>
  <si>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</si>
  <si>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</si>
  <si>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</si>
  <si>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</si>
  <si>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</si>
  <si>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</si>
  <si>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</si>
  <si>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</si>
  <si>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</si>
  <si>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</si>
  <si>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</si>
  <si>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</si>
  <si>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</si>
  <si>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</si>
  <si>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</si>
  <si>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</si>
  <si>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</si>
  <si>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</si>
  <si>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</si>
  <si>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</si>
  <si>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</si>
  <si>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</si>
  <si>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</si>
  <si>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</si>
  <si>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</si>
  <si>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</si>
  <si>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</si>
  <si>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</si>
  <si>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</si>
  <si>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</si>
  <si>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</si>
  <si>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</si>
  <si>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</si>
  <si>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</si>
  <si>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</si>
  <si>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</si>
  <si>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</si>
  <si>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</si>
  <si>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</si>
  <si>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</si>
  <si>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</si>
  <si>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</si>
  <si>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</si>
  <si>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</si>
  <si>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</si>
  <si>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</si>
  <si>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</si>
  <si>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</si>
  <si>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</si>
  <si>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</si>
  <si>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</si>
  <si>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</si>
  <si>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</si>
  <si>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</si>
  <si>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</si>
  <si>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</si>
  <si>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</si>
  <si>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</si>
  <si>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</si>
  <si>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</si>
  <si>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</si>
  <si>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</si>
  <si>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</si>
  <si>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</si>
  <si>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</si>
  <si>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</si>
  <si>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</si>
  <si>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</si>
  <si>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</si>
  <si>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</si>
  <si>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</si>
  <si>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</si>
  <si>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</si>
  <si>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</si>
  <si>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</si>
  <si>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</si>
  <si>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</si>
  <si>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</si>
  <si>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</si>
  <si>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</si>
  <si>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</si>
  <si>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</si>
  <si>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</si>
  <si>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</si>
  <si>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</si>
  <si>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</si>
  <si>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</si>
  <si>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</si>
  <si>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</si>
  <si>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</si>
  <si>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</si>
  <si>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</si>
  <si>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</si>
  <si>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</si>
  <si>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</si>
  <si>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</si>
  <si>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</si>
  <si>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</si>
  <si>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</si>
  <si>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</si>
  <si>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</si>
  <si>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</si>
  <si>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</si>
  <si>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</si>
  <si>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</si>
  <si>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</si>
  <si>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</si>
  <si>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</si>
  <si>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</si>
  <si>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</si>
  <si>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</si>
  <si>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</si>
  <si>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</si>
  <si>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</si>
  <si>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</si>
  <si>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</si>
  <si>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</si>
  <si>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</si>
  <si>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</si>
  <si>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</si>
  <si>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</si>
  <si>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</si>
  <si>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</si>
  <si>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</si>
  <si>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</si>
  <si>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</si>
  <si>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</si>
  <si>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</si>
  <si>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</si>
  <si>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</si>
  <si>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</si>
  <si>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</si>
  <si>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</si>
  <si>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</si>
  <si>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</si>
  <si>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</si>
  <si>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</si>
  <si>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</si>
  <si>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</si>
  <si>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</si>
  <si>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</si>
  <si>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</si>
  <si>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</si>
  <si>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</si>
  <si>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</si>
  <si>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</si>
  <si>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</si>
  <si>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</si>
  <si>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</si>
  <si>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</si>
  <si>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</si>
  <si>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</si>
  <si>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</si>
  <si>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</si>
  <si>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</si>
  <si>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</si>
  <si>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</si>
  <si>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</si>
  <si>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</si>
  <si>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</si>
  <si>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</si>
  <si>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</si>
  <si>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</si>
  <si>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</si>
  <si>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</si>
  <si>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</si>
  <si>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</si>
  <si>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</si>
  <si>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</si>
  <si>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</si>
  <si>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</si>
  <si>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</si>
  <si>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</si>
  <si>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</si>
  <si>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</si>
  <si>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</si>
  <si>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</si>
  <si>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</si>
  <si>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</si>
  <si>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</si>
  <si>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</si>
  <si>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</si>
  <si>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</si>
  <si>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</si>
  <si>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</si>
  <si>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</si>
  <si>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</si>
  <si>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</si>
  <si>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</si>
  <si>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</si>
  <si>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</si>
  <si>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</si>
  <si>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</si>
  <si>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</si>
  <si>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</si>
  <si>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</si>
  <si>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</si>
  <si>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</si>
  <si>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</si>
  <si>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</si>
  <si>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</si>
  <si>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</si>
  <si>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</si>
  <si>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</si>
  <si>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</si>
  <si>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</si>
  <si>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</si>
  <si>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</si>
  <si>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</si>
  <si>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</si>
  <si>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</si>
  <si>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</si>
  <si>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</si>
  <si>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</si>
  <si>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</si>
  <si>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</si>
  <si>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</si>
  <si>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</si>
  <si>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</si>
  <si>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</si>
  <si>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</si>
  <si>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</si>
  <si>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</si>
  <si>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</si>
  <si>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</si>
  <si>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</si>
  <si>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</si>
  <si>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</si>
  <si>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</si>
  <si>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</si>
  <si>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</si>
  <si>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</si>
  <si>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</si>
  <si>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</si>
  <si>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</si>
  <si>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</si>
  <si>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</si>
  <si>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</si>
  <si>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</si>
  <si>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</si>
  <si>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</si>
  <si>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</si>
  <si>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</si>
  <si>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</si>
  <si>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</si>
  <si>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</si>
  <si>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</si>
  <si>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</si>
  <si>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</si>
  <si>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</si>
  <si>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</si>
  <si>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</si>
  <si>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</si>
  <si>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</si>
  <si>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</si>
  <si>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</si>
  <si>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</si>
  <si>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</si>
  <si>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</si>
  <si>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</si>
  <si>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</si>
  <si>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</si>
  <si>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</si>
  <si>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</si>
  <si>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</si>
  <si>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</si>
  <si>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</si>
  <si>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</si>
  <si>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</si>
  <si>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</si>
  <si>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</si>
  <si>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</si>
  <si>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</si>
  <si>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</si>
  <si>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</si>
  <si>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</si>
  <si>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</si>
  <si>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</si>
  <si>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</si>
  <si>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</si>
  <si>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</si>
  <si>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</si>
  <si>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</si>
  <si>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</si>
  <si>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</si>
  <si>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</si>
  <si>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</si>
  <si>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</si>
  <si>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</si>
  <si>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</si>
  <si>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</si>
  <si>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</si>
  <si>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</si>
  <si>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</si>
  <si>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</si>
  <si>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</si>
  <si>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</si>
  <si>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</si>
  <si>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</si>
  <si>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</si>
  <si>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</si>
  <si>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</si>
  <si>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</si>
  <si>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</si>
  <si>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</si>
  <si>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</si>
  <si>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</si>
  <si>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</si>
  <si>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</si>
  <si>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</si>
  <si>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</si>
  <si>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</si>
  <si>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</si>
  <si>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</si>
  <si>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</si>
  <si>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</si>
  <si>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</si>
  <si>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</si>
  <si>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</si>
  <si>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</si>
  <si>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</si>
  <si>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</si>
  <si>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</si>
  <si>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</si>
  <si>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</si>
  <si>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</si>
  <si>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</si>
  <si>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</si>
  <si>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</si>
  <si>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</si>
  <si>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</si>
  <si>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</si>
  <si>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</si>
  <si>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</si>
  <si>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</si>
  <si>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</si>
  <si>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</si>
  <si>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</si>
  <si>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</si>
  <si>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</si>
  <si>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</si>
  <si>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</si>
  <si>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</si>
  <si>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</si>
  <si>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</si>
  <si>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</si>
  <si>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</si>
  <si>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</si>
  <si>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</si>
  <si>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</si>
  <si>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</si>
  <si>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</si>
  <si>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</si>
  <si>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</si>
  <si>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</si>
  <si>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</si>
  <si>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</si>
  <si>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</si>
  <si>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</si>
  <si>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</si>
  <si>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</si>
  <si>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</si>
  <si>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</si>
  <si>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</si>
  <si>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</si>
  <si>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</si>
  <si>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</si>
  <si>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</si>
  <si>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</si>
  <si>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</si>
  <si>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</si>
  <si>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</si>
  <si>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</si>
  <si>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</si>
  <si>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</si>
  <si>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</si>
  <si>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</si>
  <si>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</si>
  <si>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</si>
  <si>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</si>
  <si>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</si>
  <si>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</si>
  <si>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</si>
  <si>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</si>
  <si>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</si>
  <si>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</si>
  <si>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</si>
  <si>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</si>
  <si>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</si>
  <si>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</si>
  <si>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</si>
  <si>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</si>
  <si>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</si>
  <si>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</si>
  <si>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</si>
  <si>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</si>
  <si>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</si>
  <si>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</si>
  <si>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</si>
  <si>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</si>
  <si>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</si>
  <si>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</si>
  <si>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</si>
  <si>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</si>
  <si>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</si>
  <si>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</si>
  <si>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</si>
  <si>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</si>
  <si>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</si>
  <si>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</si>
  <si>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</si>
  <si>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</si>
  <si>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</si>
  <si>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</si>
  <si>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</si>
  <si>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</si>
  <si>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</si>
  <si>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</si>
  <si>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</si>
  <si>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</si>
  <si>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</si>
  <si>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</si>
  <si>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</si>
  <si>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</si>
  <si>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</si>
  <si>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</si>
  <si>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</si>
  <si>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</si>
  <si>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</si>
  <si>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</si>
  <si>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</si>
  <si>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</si>
  <si>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</si>
  <si>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</si>
  <si>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</si>
  <si>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</si>
  <si>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</si>
  <si>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</si>
  <si>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</si>
  <si>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</si>
  <si>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</si>
  <si>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</si>
  <si>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</si>
  <si>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</si>
  <si>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</si>
  <si>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</si>
  <si>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</si>
  <si>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</si>
  <si>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</si>
  <si>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</si>
  <si>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</si>
  <si>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</si>
  <si>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</si>
  <si>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</si>
  <si>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</si>
  <si>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</si>
  <si>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</si>
  <si>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</si>
  <si>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</si>
  <si>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</si>
  <si>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</si>
  <si>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</si>
  <si>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</si>
  <si>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</si>
  <si>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</si>
  <si>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</si>
  <si>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</si>
  <si>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</si>
  <si>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</si>
  <si>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</si>
  <si>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</si>
  <si>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</si>
  <si>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</si>
  <si>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</si>
  <si>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</si>
  <si>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</si>
  <si>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</si>
  <si>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</si>
  <si>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</si>
  <si>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</si>
  <si>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</si>
  <si>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</si>
  <si>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</si>
  <si>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</si>
  <si>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</si>
  <si>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</si>
  <si>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</si>
  <si>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</si>
  <si>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</si>
  <si>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</si>
  <si>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</si>
  <si>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</si>
  <si>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</si>
  <si>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</si>
  <si>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</si>
  <si>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</si>
  <si>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</si>
  <si>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</si>
  <si>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</si>
  <si>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</si>
  <si>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</si>
  <si>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</si>
  <si>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</si>
  <si>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</si>
  <si>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</si>
  <si>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</si>
  <si>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</si>
  <si>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</si>
  <si>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</si>
  <si>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</si>
  <si>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</si>
  <si>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</si>
  <si>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</si>
  <si>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</si>
  <si>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</si>
  <si>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</si>
  <si>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</si>
  <si>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</si>
  <si>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</si>
  <si>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</si>
  <si>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</si>
  <si>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</si>
  <si>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</si>
  <si>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</si>
  <si>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</si>
  <si>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</si>
  <si>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</si>
  <si>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</si>
  <si>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</si>
  <si>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</si>
  <si>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</si>
  <si>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</si>
  <si>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</si>
  <si>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</si>
  <si>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</si>
  <si>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</si>
  <si>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</si>
  <si>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</si>
  <si>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</si>
  <si>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</si>
  <si>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</si>
  <si>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</si>
  <si>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</si>
  <si>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</si>
  <si>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</si>
  <si>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</si>
  <si>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</si>
  <si>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</si>
  <si>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</si>
  <si>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</si>
  <si>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</si>
  <si>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</si>
  <si>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</si>
  <si>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</si>
  <si>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</si>
  <si>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</si>
  <si>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</si>
  <si>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</si>
  <si>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</si>
  <si>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</si>
  <si>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</si>
  <si>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</si>
  <si>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</si>
  <si>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</si>
  <si>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</si>
  <si>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</si>
  <si>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</si>
  <si>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</si>
  <si>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</si>
  <si>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</si>
  <si>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</si>
  <si>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</si>
  <si>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</si>
  <si>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</si>
  <si>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</si>
  <si>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</si>
  <si>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</si>
  <si>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</si>
  <si>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</si>
  <si>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</si>
  <si>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</si>
  <si>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</si>
  <si>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</si>
  <si>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</si>
  <si>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</si>
  <si>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</si>
  <si>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</si>
  <si>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</si>
  <si>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</si>
  <si>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</si>
  <si>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</si>
  <si>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</si>
  <si>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</si>
  <si>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</si>
  <si>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</si>
  <si>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</si>
  <si>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</si>
  <si>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</si>
  <si>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</si>
  <si>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</si>
  <si>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</si>
  <si>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</si>
  <si>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</si>
  <si>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</si>
  <si>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</si>
  <si>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</si>
  <si>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</si>
  <si>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</si>
  <si>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</si>
  <si>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</si>
  <si>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</si>
  <si>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</si>
  <si>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</si>
  <si>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</si>
  <si>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</si>
  <si>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</si>
  <si>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</si>
  <si>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</si>
  <si>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</si>
  <si>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</si>
  <si>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</si>
  <si>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</si>
  <si>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</si>
  <si>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</si>
  <si>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</si>
  <si>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</si>
  <si>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</si>
  <si>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</si>
  <si>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</si>
  <si>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</si>
  <si>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</si>
  <si>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</si>
  <si>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</si>
  <si>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</si>
  <si>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</si>
  <si>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</si>
  <si>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</si>
  <si>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</si>
  <si>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</si>
  <si>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</si>
  <si>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</si>
  <si>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</si>
  <si>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</si>
  <si>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</si>
  <si>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</si>
  <si>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</si>
  <si>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</si>
  <si>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</si>
  <si>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</si>
  <si>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</si>
  <si>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</si>
  <si>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</si>
  <si>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</si>
  <si>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</si>
  <si>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</si>
  <si>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</si>
  <si>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</si>
  <si>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</si>
  <si>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</si>
  <si>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</si>
  <si>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</si>
  <si>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</si>
  <si>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</si>
  <si>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</si>
  <si>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</si>
  <si>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</si>
  <si>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</si>
  <si>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</si>
  <si>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</si>
  <si>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</si>
  <si>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</si>
  <si>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</si>
  <si>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</si>
  <si>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</si>
  <si>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</si>
  <si>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</si>
  <si>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</si>
  <si>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</si>
  <si>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</si>
  <si>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</si>
  <si>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</si>
  <si>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</si>
  <si>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</si>
  <si>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</si>
  <si>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</si>
  <si>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</si>
  <si>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</si>
  <si>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</si>
  <si>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</si>
  <si>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</si>
  <si>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</si>
  <si>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</si>
  <si>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</si>
  <si>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</si>
  <si>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</si>
  <si>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</si>
  <si>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</si>
  <si>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</si>
  <si>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</si>
  <si>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</si>
  <si>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</si>
  <si>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</si>
  <si>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</si>
  <si>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</si>
  <si>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</si>
  <si>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</si>
  <si>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</si>
  <si>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</si>
  <si>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</si>
  <si>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</si>
  <si>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</si>
  <si>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</si>
  <si>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</si>
  <si>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</si>
  <si>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</si>
  <si>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</si>
  <si>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</si>
  <si>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</si>
  <si>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</si>
  <si>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</si>
  <si>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</si>
  <si>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</si>
  <si>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</si>
  <si>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</si>
  <si>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</si>
  <si>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</si>
  <si>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</si>
  <si>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</si>
  <si>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</si>
  <si>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</si>
  <si>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</si>
  <si>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</si>
  <si>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</si>
  <si>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</si>
  <si>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</si>
  <si>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</si>
  <si>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</si>
  <si>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</si>
  <si>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</si>
  <si>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</si>
  <si>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</si>
  <si>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</si>
  <si>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</si>
  <si>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</si>
  <si>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</si>
  <si>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</si>
  <si>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</si>
  <si>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</si>
  <si>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</si>
  <si>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</si>
  <si>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</si>
  <si>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</si>
  <si>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</si>
  <si>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</si>
  <si>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</si>
  <si>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</si>
  <si>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</si>
  <si>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</si>
  <si>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</si>
  <si>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</si>
  <si>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</si>
  <si>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</si>
  <si>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</si>
  <si>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</si>
  <si>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</si>
  <si>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</si>
  <si>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</si>
  <si>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</si>
  <si>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</si>
  <si>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</si>
  <si>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</si>
  <si>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</si>
  <si>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</si>
  <si>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</si>
  <si>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</si>
  <si>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</si>
  <si>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</si>
  <si>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</si>
  <si>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</si>
  <si>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</si>
  <si>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</si>
  <si>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</si>
  <si>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</si>
  <si>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</si>
  <si>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</si>
  <si>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</si>
  <si>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</si>
  <si>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</si>
  <si>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</si>
  <si>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</si>
  <si>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</si>
  <si>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</si>
  <si>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</si>
  <si>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</si>
  <si>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</si>
  <si>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</si>
  <si>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</si>
  <si>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</si>
  <si>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</si>
  <si>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</si>
  <si>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</si>
  <si>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</si>
  <si>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</si>
  <si>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</si>
  <si>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</si>
  <si>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</si>
  <si>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</si>
  <si>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</si>
  <si>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</si>
  <si>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</si>
  <si>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</si>
  <si>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</si>
  <si>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</si>
  <si>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</si>
  <si>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</si>
  <si>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</si>
  <si>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</si>
  <si>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</si>
  <si>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</si>
  <si>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</si>
  <si>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</si>
  <si>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</si>
  <si>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</si>
  <si>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</si>
  <si>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</si>
  <si>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</si>
  <si>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</si>
  <si>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</si>
  <si>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</si>
  <si>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</si>
  <si>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</si>
  <si>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</si>
  <si>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</si>
  <si>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</si>
  <si>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</si>
  <si>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</si>
  <si>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</si>
  <si>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</si>
  <si>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</si>
  <si>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</si>
  <si>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</si>
  <si>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</si>
  <si>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</si>
  <si>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</si>
  <si>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</si>
  <si>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</si>
  <si>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</si>
  <si>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</si>
  <si>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</si>
  <si>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</si>
  <si>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</si>
  <si>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</si>
  <si>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</si>
  <si>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</si>
  <si>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</si>
  <si>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</si>
  <si>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</si>
  <si>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</si>
  <si>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</si>
  <si>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</si>
  <si>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</si>
  <si>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</si>
  <si>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</si>
  <si>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</si>
  <si>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</si>
  <si>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</si>
  <si>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</si>
  <si>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</si>
  <si>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</si>
  <si>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</si>
  <si>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</si>
  <si>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</si>
  <si>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</si>
  <si>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</si>
  <si>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</si>
  <si>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</si>
  <si>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</si>
  <si>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</si>
  <si>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</si>
  <si>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</si>
  <si>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</si>
  <si>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</si>
  <si>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</si>
  <si>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</si>
  <si>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</si>
  <si>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</si>
  <si>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</si>
  <si>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</si>
  <si>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</si>
  <si>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</si>
  <si>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</si>
  <si>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</si>
  <si>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</si>
  <si>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</si>
  <si>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</si>
  <si>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</si>
  <si>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</si>
  <si>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</si>
  <si>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</si>
  <si>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</si>
  <si>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</si>
  <si>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</si>
  <si>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</si>
  <si>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</si>
  <si>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</si>
  <si>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</si>
  <si>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</si>
  <si>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</si>
  <si>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</si>
  <si>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</si>
  <si>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</si>
  <si>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</si>
  <si>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</si>
  <si>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</si>
  <si>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</si>
  <si>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</si>
  <si>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</si>
  <si>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</si>
  <si>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</si>
  <si>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</si>
  <si>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</si>
  <si>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</si>
  <si>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</si>
  <si>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</si>
  <si>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</si>
  <si>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</si>
  <si>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</si>
  <si>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</si>
  <si>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</si>
  <si>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</si>
  <si>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</si>
  <si>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</si>
  <si>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</si>
  <si>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</si>
  <si>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</si>
  <si>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</si>
  <si>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</si>
  <si>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</si>
  <si>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</si>
  <si>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</si>
  <si>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</si>
  <si>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</si>
  <si>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</si>
  <si>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</si>
  <si>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</si>
  <si>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</si>
  <si>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</si>
  <si>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</si>
  <si>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</si>
  <si>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</si>
  <si>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</si>
  <si>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</si>
  <si>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</si>
  <si>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</si>
  <si>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</si>
  <si>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</si>
  <si>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</si>
  <si>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</si>
  <si>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</si>
  <si>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</si>
  <si>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</si>
  <si>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</si>
  <si>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</si>
  <si>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</si>
  <si>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</si>
  <si>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</si>
  <si>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</si>
  <si>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</si>
  <si>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</si>
  <si>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</si>
  <si>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</si>
  <si>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</si>
  <si>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</si>
  <si>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</si>
  <si>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</si>
  <si>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</si>
  <si>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</si>
  <si>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</si>
  <si>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</si>
  <si>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</si>
  <si>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</si>
  <si>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</si>
  <si>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</si>
  <si>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</si>
  <si>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</si>
  <si>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</si>
  <si>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</si>
  <si>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</si>
  <si>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</si>
  <si>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</si>
  <si>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</si>
  <si>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</si>
  <si>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</si>
  <si>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</si>
  <si>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</si>
  <si>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</si>
  <si>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</si>
  <si>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</si>
  <si>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</si>
  <si>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</si>
  <si>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</si>
  <si>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</si>
  <si>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</si>
  <si>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</si>
  <si>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</si>
  <si>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</si>
  <si>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</si>
  <si>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</si>
  <si>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</si>
  <si>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</si>
  <si>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</si>
  <si>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</si>
  <si>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</si>
  <si>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</si>
  <si>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</si>
  <si>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</si>
  <si>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</si>
  <si>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</si>
  <si>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</si>
  <si>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</si>
  <si>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</si>
  <si>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</si>
  <si>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</si>
  <si>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</si>
  <si>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</si>
  <si>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</si>
  <si>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</si>
  <si>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</si>
  <si>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</si>
  <si>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</si>
  <si>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</si>
  <si>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</si>
  <si>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</si>
  <si>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</si>
  <si>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</si>
  <si>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</si>
  <si>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</si>
  <si>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</si>
  <si>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</si>
  <si>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</si>
  <si>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</si>
  <si>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</si>
  <si>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</si>
  <si>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</si>
  <si>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</si>
  <si>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</si>
  <si>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</si>
  <si>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</si>
  <si>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</si>
  <si>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</si>
  <si>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</si>
  <si>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</si>
  <si>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</si>
  <si>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</si>
  <si>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</si>
  <si>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</si>
  <si>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</si>
  <si>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</si>
  <si>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</si>
  <si>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</si>
  <si>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</si>
  <si>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</si>
  <si>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</si>
  <si>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</si>
  <si>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</si>
  <si>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</si>
  <si>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</si>
  <si>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</si>
  <si>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</si>
  <si>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</si>
  <si>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</si>
  <si>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</si>
  <si>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</si>
  <si>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</si>
  <si>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</si>
  <si>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</si>
  <si>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</si>
  <si>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</si>
  <si>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</si>
  <si>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</si>
  <si>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</si>
  <si>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</si>
  <si>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</si>
  <si>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</si>
  <si>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</si>
  <si>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</si>
  <si>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</si>
  <si>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</si>
  <si>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</si>
  <si>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</si>
  <si>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</si>
  <si>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</si>
  <si>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</si>
  <si>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</si>
  <si>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</si>
  <si>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</si>
  <si>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</si>
  <si>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</si>
  <si>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</si>
  <si>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</si>
  <si>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</si>
  <si>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</si>
  <si>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</si>
  <si>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</si>
  <si>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</si>
  <si>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</si>
  <si>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</si>
  <si>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</si>
  <si>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</si>
  <si>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</si>
  <si>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</si>
  <si>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</si>
  <si>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</si>
  <si>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</si>
  <si>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</si>
  <si>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</si>
  <si>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</si>
  <si>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</si>
  <si>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</si>
  <si>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</si>
  <si>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</si>
  <si>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</si>
  <si>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</si>
  <si>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</si>
  <si>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</si>
  <si>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</si>
  <si>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</si>
  <si>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</si>
  <si>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</si>
  <si>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</si>
  <si>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</si>
  <si>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</si>
  <si>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</si>
  <si>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</si>
  <si>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</si>
  <si>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</si>
  <si>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</si>
  <si>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</si>
  <si>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</si>
  <si>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</si>
  <si>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</si>
  <si>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</si>
  <si>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</si>
  <si>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</si>
  <si>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</si>
  <si>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</si>
  <si>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</si>
  <si>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</si>
  <si>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</si>
  <si>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</si>
  <si>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</si>
  <si>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</si>
  <si>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</si>
  <si>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</si>
  <si>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</si>
  <si>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</si>
  <si>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</si>
  <si>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</si>
  <si>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</si>
  <si>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</si>
  <si>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</si>
  <si>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</si>
  <si>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</si>
  <si>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</si>
  <si>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</si>
  <si>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</si>
  <si>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</si>
  <si>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</si>
  <si>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</si>
  <si>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</si>
  <si>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</si>
  <si>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</si>
  <si>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</si>
  <si>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</si>
  <si>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</si>
  <si>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</si>
  <si>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</si>
  <si>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</si>
  <si>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</si>
  <si>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</si>
  <si>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</si>
  <si>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</si>
  <si>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</si>
  <si>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</si>
  <si>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</si>
  <si>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</si>
  <si>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</si>
  <si>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</si>
  <si>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</si>
  <si>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</si>
  <si>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</si>
  <si>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</si>
  <si>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</si>
  <si>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</si>
  <si>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</si>
  <si>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</si>
  <si>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</si>
  <si>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</si>
  <si>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</si>
  <si>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</si>
  <si>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</si>
  <si>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</si>
  <si>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</si>
  <si>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</si>
  <si>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</si>
  <si>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</si>
  <si>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</si>
  <si>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</si>
  <si>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</si>
  <si>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</si>
  <si>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</si>
  <si>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</si>
  <si>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</si>
  <si>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</si>
  <si>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</si>
  <si>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</si>
  <si>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</si>
  <si>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</si>
  <si>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</si>
  <si>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</si>
  <si>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</si>
  <si>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</si>
  <si>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</si>
  <si>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</si>
  <si>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</si>
  <si>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</si>
  <si>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</si>
  <si>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</si>
  <si>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</si>
  <si>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</si>
  <si>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</si>
  <si>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</si>
  <si>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</si>
  <si>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</si>
  <si>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</si>
  <si>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</si>
  <si>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</si>
  <si>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</si>
  <si>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</si>
  <si>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</si>
  <si>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</si>
  <si>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</si>
  <si>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</si>
  <si>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</si>
  <si>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</si>
  <si>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</si>
  <si>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</si>
  <si>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</si>
  <si>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</si>
  <si>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</si>
  <si>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</si>
  <si>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</si>
  <si>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</si>
  <si>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</si>
  <si>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</si>
  <si>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</si>
  <si>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</si>
  <si>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</si>
  <si>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</si>
  <si>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</si>
  <si>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</si>
  <si>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</si>
  <si>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</si>
  <si>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</si>
  <si>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</si>
  <si>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</si>
  <si>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</si>
  <si>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</si>
  <si>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</si>
  <si>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</si>
  <si>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</si>
  <si>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</si>
  <si>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</si>
  <si>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</si>
  <si>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</si>
  <si>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</si>
  <si>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</si>
  <si>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</si>
  <si>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</si>
  <si>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</si>
  <si>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</si>
  <si>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</si>
  <si>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</si>
  <si>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</si>
  <si>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</si>
  <si>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</si>
  <si>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</si>
  <si>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</si>
  <si>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</si>
  <si>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</si>
  <si>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</si>
  <si>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</si>
  <si>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</si>
  <si>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</si>
  <si>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</si>
  <si>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</si>
  <si>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</si>
  <si>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</si>
  <si>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</si>
  <si>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</si>
  <si>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</si>
  <si>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</si>
  <si>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</si>
  <si>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</si>
  <si>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</si>
  <si>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</si>
  <si>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</si>
  <si>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</si>
  <si>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</si>
  <si>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</si>
  <si>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</si>
  <si>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</si>
  <si>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</si>
  <si>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</si>
  <si>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</si>
  <si>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</si>
  <si>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</si>
  <si>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</si>
  <si>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</si>
  <si>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</si>
  <si>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</si>
  <si>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</si>
  <si>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</si>
  <si>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</si>
  <si>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</si>
  <si>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</si>
  <si>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</si>
  <si>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</si>
  <si>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</si>
  <si>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</si>
  <si>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</si>
  <si>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</si>
  <si>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</si>
  <si>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</si>
  <si>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</si>
  <si>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</si>
  <si>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</si>
  <si>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</si>
  <si>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</si>
  <si>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</si>
  <si>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</si>
  <si>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</si>
  <si>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</si>
  <si>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</si>
  <si>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</si>
  <si>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</si>
  <si>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</si>
  <si>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</si>
  <si>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</si>
  <si>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</si>
  <si>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</si>
  <si>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</si>
  <si>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</si>
  <si>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</si>
  <si>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</si>
  <si>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</si>
  <si>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</si>
  <si>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</si>
  <si>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</si>
  <si>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</si>
  <si>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</si>
  <si>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</si>
  <si>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</si>
  <si>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</si>
  <si>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</si>
  <si>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</si>
  <si>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</si>
  <si>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</si>
  <si>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</si>
  <si>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</si>
  <si>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</si>
  <si>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</si>
  <si>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</si>
  <si>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</si>
  <si>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</si>
  <si>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</si>
  <si>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</si>
  <si>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</si>
  <si>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</si>
  <si>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</si>
  <si>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</si>
  <si>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</si>
  <si>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</si>
  <si>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</si>
  <si>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</si>
  <si>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</si>
  <si>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</si>
  <si>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</si>
  <si>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</si>
  <si>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</si>
  <si>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</si>
  <si>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</si>
  <si>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</si>
  <si>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</si>
  <si>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</si>
  <si>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</si>
  <si>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</si>
  <si>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</si>
  <si>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</si>
  <si>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</si>
  <si>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</si>
  <si>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</si>
  <si>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</si>
  <si>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</si>
  <si>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</si>
  <si>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</si>
  <si>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</si>
  <si>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</si>
  <si>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</si>
  <si>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</si>
  <si>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</si>
  <si>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</si>
  <si>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</si>
  <si>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</si>
  <si>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</si>
  <si>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</si>
  <si>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</si>
  <si>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</si>
  <si>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</si>
  <si>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</si>
  <si>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</si>
  <si>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</si>
  <si>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</si>
  <si>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</si>
  <si>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</si>
  <si>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</si>
  <si>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</si>
  <si>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</si>
  <si>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</si>
  <si>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</si>
  <si>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</si>
  <si>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</si>
  <si>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</si>
  <si>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</si>
  <si>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</si>
  <si>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</si>
  <si>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</si>
  <si>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</si>
  <si>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</si>
  <si>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</si>
  <si>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</si>
  <si>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</si>
  <si>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</si>
  <si>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</si>
  <si>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</si>
  <si>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</si>
  <si>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</si>
  <si>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</si>
  <si>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</si>
  <si>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</si>
  <si>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</si>
  <si>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</si>
  <si>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</si>
  <si>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</si>
  <si>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</si>
  <si>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</si>
  <si>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</si>
  <si>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</si>
  <si>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</si>
  <si>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</si>
  <si>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</si>
  <si>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</si>
  <si>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</si>
  <si>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</si>
  <si>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</si>
  <si>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</si>
  <si>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</si>
  <si>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</si>
  <si>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</si>
  <si>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</si>
  <si>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</si>
  <si>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</si>
  <si>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</si>
  <si>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</si>
  <si>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</si>
  <si>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</si>
  <si>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</si>
  <si>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</si>
  <si>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</si>
  <si>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</si>
  <si>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</si>
  <si>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</si>
  <si>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</si>
  <si>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</si>
  <si>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</si>
  <si>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</si>
  <si>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</si>
  <si>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</si>
  <si>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</si>
  <si>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</si>
  <si>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</si>
  <si>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</si>
  <si>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</si>
  <si>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</si>
  <si>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</si>
  <si>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</si>
  <si>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</si>
  <si>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</si>
  <si>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</si>
  <si>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</si>
  <si>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</si>
  <si>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</si>
  <si>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</si>
  <si>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</si>
  <si>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</si>
  <si>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</si>
  <si>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</si>
  <si>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</si>
  <si>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</si>
  <si>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</si>
  <si>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</si>
  <si>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</si>
  <si>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</si>
  <si>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</si>
  <si>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</si>
  <si>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</si>
  <si>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</si>
  <si>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</si>
  <si>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</si>
  <si>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</si>
  <si>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</si>
  <si>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</si>
  <si>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</si>
  <si>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</si>
  <si>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</si>
  <si>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</si>
  <si>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</si>
  <si>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</si>
  <si>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</si>
  <si>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</si>
  <si>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</si>
  <si>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</si>
  <si>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</si>
  <si>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</si>
  <si>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</si>
  <si>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</si>
  <si>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</si>
  <si>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</si>
  <si>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</si>
  <si>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</si>
  <si>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</si>
  <si>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</si>
  <si>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</si>
  <si>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</si>
  <si>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</si>
  <si>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</si>
  <si>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</si>
  <si>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</si>
  <si>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</si>
  <si>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</si>
  <si>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</si>
  <si>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</si>
  <si>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</si>
  <si>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</si>
  <si>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</si>
  <si>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</si>
  <si>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</si>
  <si>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</si>
  <si>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</si>
  <si>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</si>
  <si>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</si>
  <si>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</si>
  <si>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</si>
  <si>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</si>
  <si>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</si>
  <si>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</si>
  <si>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</si>
  <si>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</si>
  <si>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</si>
  <si>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</si>
  <si>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</si>
  <si>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</si>
  <si>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</si>
  <si>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</si>
  <si>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</si>
  <si>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</si>
  <si>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</si>
  <si>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</si>
  <si>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</si>
  <si>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</si>
  <si>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</si>
  <si>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</si>
  <si>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</si>
  <si>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</si>
  <si>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</si>
  <si>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</si>
  <si>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</si>
  <si>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</si>
  <si>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</si>
  <si>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</si>
  <si>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</si>
  <si>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</si>
  <si>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</si>
  <si>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</si>
  <si>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</si>
  <si>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</si>
  <si>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</si>
  <si>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</si>
  <si>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</si>
  <si>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</si>
  <si>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</si>
  <si>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</si>
  <si>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</si>
  <si>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</si>
  <si>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</si>
  <si>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</si>
  <si>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</si>
  <si>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</si>
  <si>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</si>
  <si>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</si>
  <si>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</si>
  <si>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</si>
  <si>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</si>
  <si>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</si>
  <si>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</si>
  <si>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</si>
  <si>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</si>
  <si>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</si>
  <si>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</si>
  <si>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</si>
  <si>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</si>
  <si>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</si>
  <si>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</si>
  <si>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</si>
  <si>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</si>
  <si>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</si>
  <si>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</si>
  <si>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</si>
  <si>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</si>
  <si>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</si>
  <si>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</si>
  <si>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</si>
  <si>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</si>
  <si>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</si>
  <si>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</si>
  <si>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</si>
  <si>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</si>
  <si>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</si>
  <si>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</si>
  <si>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</si>
  <si>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</si>
  <si>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</si>
  <si>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</si>
  <si>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</si>
  <si>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</si>
  <si>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</si>
  <si>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</si>
  <si>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</si>
  <si>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</si>
  <si>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</si>
  <si>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</si>
  <si>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</si>
  <si>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</si>
  <si>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</si>
  <si>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</si>
  <si>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</si>
  <si>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</si>
  <si>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</si>
  <si>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</si>
  <si>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</si>
  <si>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</si>
  <si>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</si>
  <si>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</si>
  <si>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</si>
  <si>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</si>
  <si>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</si>
  <si>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</si>
  <si>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</si>
  <si>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</si>
  <si>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</si>
  <si>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</si>
  <si>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</si>
  <si>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</si>
  <si>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</si>
  <si>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</si>
  <si>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</si>
  <si>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</si>
  <si>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</si>
  <si>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</si>
  <si>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</si>
  <si>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</si>
  <si>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</si>
  <si>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</si>
  <si>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</si>
  <si>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</si>
  <si>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</si>
  <si>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</si>
  <si>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</si>
  <si>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</si>
  <si>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</si>
  <si>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</si>
  <si>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</si>
  <si>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</si>
  <si>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</si>
  <si>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</si>
  <si>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</si>
  <si>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</si>
  <si>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</si>
  <si>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</si>
  <si>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</si>
  <si>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</si>
  <si>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</si>
  <si>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</si>
  <si>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</si>
  <si>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</si>
  <si>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</si>
  <si>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</si>
  <si>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</si>
  <si>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</si>
  <si>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</si>
  <si>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</si>
  <si>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</si>
  <si>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</si>
  <si>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</si>
  <si>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</si>
  <si>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</si>
  <si>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</si>
  <si>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</si>
  <si>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</si>
  <si>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</si>
  <si>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</si>
  <si>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</si>
  <si>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</si>
  <si>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</si>
  <si>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</si>
  <si>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</si>
  <si>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</si>
  <si>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</si>
  <si>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</si>
  <si>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</si>
  <si>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</si>
  <si>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</si>
  <si>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</si>
  <si>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</si>
  <si>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</si>
  <si>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</si>
  <si>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</si>
  <si>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</si>
  <si>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</si>
  <si>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</si>
  <si>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</si>
  <si>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</si>
  <si>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</si>
  <si>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</si>
  <si>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</si>
  <si>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</si>
  <si>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</si>
  <si>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</si>
  <si>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</si>
  <si>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</si>
  <si>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</si>
  <si>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</si>
  <si>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</si>
  <si>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</si>
  <si>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</si>
  <si>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</si>
  <si>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</si>
  <si>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</si>
  <si>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</si>
  <si>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</si>
  <si>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</si>
  <si>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</si>
  <si>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</si>
  <si>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</si>
  <si>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</si>
  <si>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</si>
  <si>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</si>
  <si>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</si>
  <si>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</si>
  <si>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</si>
  <si>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</si>
  <si>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</si>
  <si>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</si>
  <si>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</si>
  <si>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</si>
  <si>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</si>
  <si>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</si>
  <si>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</si>
  <si>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</si>
  <si>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</si>
  <si>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</si>
  <si>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</si>
  <si>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</si>
  <si>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</si>
  <si>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</si>
  <si>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</si>
  <si>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</si>
  <si>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</si>
  <si>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</si>
  <si>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</si>
  <si>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</si>
  <si>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</si>
  <si>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</si>
  <si>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</si>
  <si>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</si>
  <si>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</si>
  <si>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</si>
  <si>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</si>
  <si>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</si>
  <si>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</si>
  <si>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</si>
  <si>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</si>
  <si>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</si>
  <si>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</si>
  <si>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</si>
  <si>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</si>
  <si>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</si>
  <si>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</si>
  <si>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</si>
  <si>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</si>
  <si>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</si>
  <si>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</si>
  <si>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</si>
  <si>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</si>
  <si>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</si>
  <si>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</si>
  <si>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</si>
  <si>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</si>
  <si>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</si>
  <si>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</si>
  <si>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</si>
  <si>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</si>
  <si>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</si>
  <si>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</si>
  <si>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</si>
  <si>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</si>
  <si>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</si>
  <si>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</si>
  <si>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</si>
  <si>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</si>
  <si>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</si>
  <si>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</si>
  <si>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</si>
  <si>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</si>
  <si>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</si>
  <si>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</si>
  <si>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</si>
  <si>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</si>
  <si>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</si>
  <si>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</si>
  <si>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</si>
  <si>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</si>
  <si>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</si>
  <si>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</si>
  <si>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</si>
  <si>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</si>
  <si>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</si>
  <si>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</si>
  <si>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</si>
  <si>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</si>
  <si>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</si>
  <si>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</si>
  <si>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</si>
  <si>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</si>
  <si>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</si>
  <si>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</si>
  <si>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</si>
  <si>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</si>
  <si>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</si>
  <si>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</si>
  <si>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</si>
  <si>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</si>
  <si>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</si>
  <si>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</si>
  <si>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</si>
  <si>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</si>
  <si>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</si>
  <si>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</si>
  <si>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</si>
  <si>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</si>
  <si>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</si>
  <si>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</si>
  <si>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</si>
  <si>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</si>
  <si>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</si>
  <si>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</si>
  <si>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</si>
  <si>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</si>
  <si>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</si>
  <si>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</si>
  <si>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</si>
  <si>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</si>
  <si>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</si>
  <si>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</si>
  <si>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</si>
  <si>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</si>
  <si>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</si>
  <si>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</si>
  <si>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</si>
  <si>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</si>
  <si>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</si>
  <si>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</si>
  <si>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</si>
  <si>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</si>
  <si>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</si>
  <si>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</si>
  <si>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</si>
  <si>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</si>
  <si>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</si>
  <si>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</si>
  <si>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</si>
  <si>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</si>
  <si>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</si>
  <si>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</si>
  <si>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</si>
  <si>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</si>
  <si>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</si>
  <si>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</si>
  <si>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</si>
  <si>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</si>
  <si>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</si>
  <si>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</si>
  <si>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</si>
  <si>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</si>
  <si>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</si>
  <si>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</si>
  <si>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</si>
  <si>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</si>
  <si>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</si>
  <si>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</si>
  <si>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</si>
  <si>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</si>
  <si>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</si>
  <si>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</si>
  <si>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</si>
  <si>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</si>
  <si>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</si>
  <si>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</si>
  <si>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</si>
  <si>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</si>
  <si>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</si>
  <si>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</si>
  <si>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</si>
  <si>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</si>
  <si>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</si>
  <si>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</si>
  <si>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</si>
  <si>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</si>
  <si>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</si>
  <si>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</si>
  <si>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</si>
  <si>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</si>
  <si>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</si>
  <si>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</si>
  <si>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</si>
  <si>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</si>
  <si>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</si>
  <si>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</si>
  <si>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</si>
  <si>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</si>
  <si>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</si>
  <si>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</si>
  <si>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</si>
  <si>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</si>
  <si>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</si>
  <si>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</si>
  <si>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</si>
  <si>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</si>
  <si>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</si>
  <si>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</si>
  <si>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</si>
  <si>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</si>
  <si>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</si>
  <si>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</si>
  <si>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</si>
  <si>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</si>
  <si>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</si>
  <si>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</si>
  <si>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</si>
  <si>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</si>
  <si>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</si>
  <si>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</si>
  <si>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</si>
  <si>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</si>
  <si>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</si>
  <si>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</si>
  <si>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</si>
  <si>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</si>
  <si>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</si>
  <si>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</si>
  <si>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</si>
  <si>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</si>
  <si>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</si>
  <si>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</si>
  <si>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</si>
  <si>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</si>
  <si>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</si>
  <si>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</si>
  <si>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</si>
  <si>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</si>
  <si>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</si>
  <si>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</si>
  <si>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</si>
  <si>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</si>
  <si>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</si>
  <si>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</si>
  <si>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</si>
  <si>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</si>
  <si>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</si>
  <si>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</si>
  <si>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</si>
  <si>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</si>
  <si>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</si>
  <si>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</si>
  <si>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</si>
  <si>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</si>
  <si>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</si>
  <si>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</si>
  <si>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</si>
  <si>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</si>
  <si>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</si>
  <si>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</si>
  <si>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</si>
  <si>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</si>
  <si>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</si>
  <si>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</si>
  <si>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</si>
  <si>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</si>
  <si>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</si>
  <si>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</si>
  <si>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</si>
  <si>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</si>
  <si>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</si>
  <si>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</si>
  <si>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</si>
  <si>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</si>
  <si>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</si>
  <si>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</si>
  <si>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</si>
  <si>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</si>
  <si>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</si>
  <si>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</si>
  <si>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</si>
  <si>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</si>
  <si>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</si>
  <si>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</si>
  <si>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</si>
  <si>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</si>
  <si>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</si>
  <si>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</si>
  <si>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</si>
  <si>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</si>
  <si>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</si>
  <si>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</si>
  <si>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</si>
  <si>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</si>
  <si>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</si>
  <si>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</si>
  <si>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</si>
  <si>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</si>
  <si>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</si>
  <si>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</si>
  <si>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</si>
  <si>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</si>
  <si>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</si>
  <si>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</si>
  <si>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</si>
  <si>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</si>
  <si>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</si>
  <si>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</si>
  <si>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</si>
  <si>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</si>
  <si>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</si>
  <si>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</si>
  <si>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</si>
  <si>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</si>
  <si>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</si>
  <si>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</si>
  <si>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</si>
  <si>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</si>
  <si>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</si>
  <si>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</si>
  <si>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</si>
  <si>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</si>
  <si>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</si>
  <si>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</si>
  <si>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</si>
  <si>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</si>
  <si>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</si>
  <si>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</si>
  <si>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</si>
  <si>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</si>
  <si>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</si>
  <si>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</si>
  <si>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</si>
  <si>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</si>
  <si>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</si>
  <si>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</si>
  <si>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</si>
  <si>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</si>
  <si>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</si>
  <si>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</si>
  <si>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</si>
  <si>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</si>
  <si>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</si>
  <si>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</si>
  <si>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</si>
  <si>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</si>
  <si>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</si>
  <si>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</si>
  <si>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</si>
  <si>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</si>
  <si>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</si>
  <si>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</si>
  <si>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</si>
  <si>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</si>
  <si>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</si>
  <si>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</si>
  <si>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</si>
  <si>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</si>
  <si>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</si>
  <si>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</si>
  <si>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</si>
  <si>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</si>
  <si>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</si>
  <si>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</si>
  <si>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</si>
  <si>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</si>
  <si>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</si>
  <si>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</si>
  <si>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</si>
  <si>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</si>
  <si>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</si>
  <si>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</si>
  <si>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</si>
  <si>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</si>
  <si>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</si>
  <si>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</si>
  <si>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</si>
  <si>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</si>
  <si>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</si>
  <si>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</si>
  <si>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</si>
  <si>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</si>
  <si>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</si>
  <si>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</si>
  <si>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</si>
  <si>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</si>
  <si>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</si>
  <si>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</si>
  <si>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</si>
  <si>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</si>
  <si>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</si>
  <si>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</si>
  <si>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</si>
  <si>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</si>
  <si>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</si>
  <si>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</si>
  <si>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</si>
  <si>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</si>
  <si>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</si>
  <si>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</si>
  <si>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</si>
  <si>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</si>
  <si>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</si>
  <si>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</si>
  <si>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</si>
  <si>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</si>
  <si>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</si>
  <si>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</si>
  <si>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</si>
  <si>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</si>
  <si>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</si>
  <si>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</si>
  <si>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</si>
  <si>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</si>
  <si>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</si>
  <si>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</si>
  <si>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</si>
  <si>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</si>
  <si>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</si>
  <si>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</si>
  <si>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</si>
  <si>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</si>
  <si>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</si>
  <si>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</si>
  <si>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</si>
  <si>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</si>
  <si>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</si>
  <si>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</si>
  <si>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</si>
  <si>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</si>
  <si>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</si>
  <si>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</si>
  <si>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</si>
  <si>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</si>
  <si>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</si>
  <si>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</si>
  <si>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</si>
  <si>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</si>
  <si>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</si>
  <si>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</si>
  <si>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</si>
  <si>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</si>
  <si>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</si>
  <si>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</si>
  <si>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</si>
  <si>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</si>
  <si>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</si>
  <si>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</si>
  <si>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</si>
  <si>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</si>
  <si>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</si>
  <si>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</si>
  <si>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</si>
  <si>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</si>
  <si>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</si>
  <si>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</si>
  <si>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</si>
  <si>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</si>
  <si>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</si>
  <si>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</si>
  <si>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</si>
  <si>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</si>
  <si>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</si>
  <si>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</si>
  <si>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</si>
  <si>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</si>
  <si>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</si>
  <si>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</si>
  <si>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</si>
  <si>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</si>
  <si>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</si>
  <si>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</si>
  <si>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</si>
  <si>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</si>
  <si>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</si>
  <si>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</si>
  <si>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</si>
  <si>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</si>
  <si>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</si>
  <si>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</si>
  <si>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</si>
  <si>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</si>
  <si>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</si>
  <si>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</si>
  <si>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</si>
  <si>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</si>
  <si>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</si>
  <si>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</si>
  <si>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</si>
  <si>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</si>
  <si>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</si>
  <si>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</si>
  <si>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</si>
  <si>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</si>
  <si>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</si>
  <si>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</si>
  <si>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</si>
  <si>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</si>
  <si>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</si>
  <si>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</si>
  <si>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</si>
  <si>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</si>
  <si>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</si>
  <si>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</si>
  <si>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</si>
  <si>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</si>
  <si>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</si>
  <si>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</si>
  <si>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</si>
  <si>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</si>
  <si>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</si>
  <si>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</si>
  <si>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</si>
  <si>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</si>
  <si>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</si>
  <si>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</si>
  <si>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</si>
  <si>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</si>
  <si>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</si>
  <si>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</si>
  <si>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</si>
  <si>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</si>
  <si>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</si>
  <si>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</si>
  <si>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</si>
  <si>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</si>
  <si>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</si>
  <si>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</si>
  <si>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</si>
  <si>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</si>
  <si>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</si>
  <si>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</si>
  <si>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</si>
  <si>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</si>
  <si>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</si>
  <si>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</si>
  <si>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</si>
  <si>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</si>
  <si>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</si>
  <si>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</si>
  <si>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</si>
  <si>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</si>
  <si>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</si>
  <si>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</si>
  <si>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</si>
  <si>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</si>
  <si>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</si>
  <si>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</si>
  <si>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</si>
  <si>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</si>
  <si>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</si>
  <si>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</si>
  <si>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</si>
  <si>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</si>
  <si>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</si>
  <si>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</si>
  <si>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</si>
  <si>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</si>
  <si>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</si>
  <si>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</si>
  <si>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</si>
  <si>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</si>
  <si>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</si>
  <si>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</si>
  <si>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</si>
  <si>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</si>
  <si>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</si>
  <si>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</si>
  <si>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</si>
  <si>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</si>
  <si>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</si>
  <si>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</si>
  <si>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</si>
  <si>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</si>
  <si>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</si>
  <si>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</si>
  <si>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</si>
  <si>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</si>
  <si>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</si>
  <si>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</si>
  <si>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</si>
  <si>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</si>
  <si>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</si>
  <si>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</si>
  <si>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</si>
  <si>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</si>
  <si>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</si>
  <si>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</si>
  <si>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</si>
  <si>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</si>
  <si>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</si>
  <si>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</si>
  <si>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</si>
  <si>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</si>
  <si>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</si>
  <si>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</si>
  <si>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</si>
  <si>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</si>
  <si>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</si>
  <si>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</si>
  <si>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</si>
  <si>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</si>
  <si>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</si>
  <si>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</si>
  <si>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</si>
  <si>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</si>
  <si>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</si>
  <si>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</si>
  <si>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</si>
  <si>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</si>
  <si>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</si>
  <si>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</si>
  <si>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</si>
  <si>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</si>
  <si>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</si>
  <si>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</si>
  <si>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</si>
  <si>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</si>
  <si>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</si>
  <si>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</si>
  <si>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</si>
  <si>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</si>
  <si>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</si>
  <si>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</si>
  <si>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</si>
  <si>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</si>
  <si>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</si>
  <si>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</si>
  <si>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</si>
  <si>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</si>
  <si>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</si>
  <si>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</si>
  <si>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</si>
  <si>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</si>
  <si>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</si>
  <si>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</si>
  <si>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</si>
  <si>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</si>
  <si>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</si>
  <si>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</si>
  <si>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</si>
  <si>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</si>
  <si>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</si>
  <si>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</si>
  <si>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</si>
  <si>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</si>
  <si>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</si>
  <si>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</si>
  <si>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</si>
  <si>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</si>
  <si>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</si>
  <si>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</si>
  <si>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</si>
  <si>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</si>
  <si>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</si>
  <si>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</si>
  <si>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</si>
  <si>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</si>
  <si>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</si>
  <si>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</si>
  <si>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</si>
  <si>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</si>
  <si>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</si>
  <si>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</si>
  <si>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</si>
  <si>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</si>
  <si>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</si>
  <si>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</si>
  <si>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</si>
  <si>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</si>
  <si>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</si>
  <si>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</si>
  <si>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</si>
  <si>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</si>
  <si>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</si>
  <si>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</si>
  <si>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</si>
  <si>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</si>
  <si>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</si>
  <si>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</si>
  <si>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</si>
  <si>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</si>
  <si>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</si>
  <si>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</si>
  <si>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</si>
  <si>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</si>
  <si>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</si>
  <si>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</si>
  <si>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</si>
  <si>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</si>
  <si>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</si>
  <si>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</si>
  <si>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</si>
  <si>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</si>
  <si>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</si>
  <si>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</si>
  <si>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</si>
  <si>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</si>
  <si>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</si>
  <si>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</si>
  <si>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</si>
  <si>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</si>
  <si>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</si>
  <si>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</si>
  <si>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</si>
  <si>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</si>
  <si>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</si>
  <si>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</si>
  <si>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</si>
  <si>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</si>
  <si>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</si>
  <si>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</si>
  <si>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</si>
  <si>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</si>
  <si>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</si>
  <si>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</si>
  <si>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</si>
  <si>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</si>
  <si>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</si>
  <si>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</si>
  <si>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</si>
  <si>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</si>
  <si>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</si>
  <si>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</si>
  <si>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</si>
  <si>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</si>
  <si>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</si>
  <si>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</si>
  <si>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</si>
  <si>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</si>
  <si>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</si>
  <si>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</si>
  <si>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</si>
  <si>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</si>
  <si>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</si>
  <si>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</si>
  <si>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</si>
  <si>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</si>
  <si>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</si>
  <si>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</si>
  <si>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</si>
  <si>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</si>
  <si>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</si>
  <si>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</si>
  <si>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</si>
  <si>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</si>
  <si>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</si>
  <si>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</si>
  <si>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</si>
  <si>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</si>
  <si>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</si>
  <si>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</si>
  <si>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</si>
  <si>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</si>
  <si>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</si>
  <si>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</si>
  <si>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</si>
  <si>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</si>
  <si>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</si>
  <si>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</si>
  <si>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</si>
  <si>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</si>
  <si>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</si>
  <si>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</si>
  <si>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</si>
  <si>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</si>
  <si>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</si>
  <si>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</si>
  <si>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</si>
  <si>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</si>
  <si>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</si>
  <si>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</si>
  <si>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</si>
  <si>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</si>
  <si>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</si>
  <si>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</si>
  <si>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</si>
  <si>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</si>
  <si>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</si>
  <si>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</si>
  <si>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</si>
  <si>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</si>
  <si>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</si>
  <si>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</si>
  <si>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</si>
  <si>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</si>
  <si>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</si>
  <si>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</si>
  <si>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</si>
  <si>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</si>
  <si>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</si>
  <si>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</si>
  <si>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</si>
  <si>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</si>
  <si>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</si>
  <si>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</si>
  <si>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</si>
  <si>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</si>
  <si>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</si>
  <si>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</si>
  <si>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</si>
  <si>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</si>
  <si>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</si>
  <si>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</si>
  <si>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</si>
  <si>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</si>
  <si>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</si>
  <si>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</si>
  <si>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</si>
  <si>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</si>
  <si>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</si>
  <si>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</si>
  <si>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</si>
  <si>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</si>
  <si>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</si>
  <si>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</si>
  <si>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</si>
  <si>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</si>
  <si>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</si>
  <si>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</si>
  <si>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</si>
  <si>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</si>
  <si>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</si>
  <si>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</si>
  <si>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</si>
  <si>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</si>
  <si>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</si>
  <si>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</si>
  <si>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</si>
  <si>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</si>
  <si>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</si>
  <si>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</si>
  <si>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</si>
  <si>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</si>
  <si>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</si>
  <si>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</si>
  <si>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</si>
  <si>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</si>
  <si>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</si>
  <si>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</si>
  <si>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</si>
  <si>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</si>
  <si>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</si>
  <si>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</si>
  <si>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</si>
  <si>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</si>
  <si>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</si>
  <si>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</si>
  <si>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</si>
  <si>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</si>
  <si>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</si>
  <si>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</si>
  <si>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</si>
  <si>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</si>
  <si>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</si>
  <si>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</si>
  <si>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</si>
  <si>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</si>
  <si>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</si>
  <si>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</si>
  <si>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</si>
  <si>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</si>
  <si>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</si>
  <si>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</si>
  <si>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</si>
  <si>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</si>
  <si>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</si>
  <si>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</si>
  <si>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</si>
  <si>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</si>
  <si>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</si>
  <si>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</si>
  <si>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</si>
  <si>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</si>
  <si>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</si>
  <si>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</si>
  <si>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</si>
  <si>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</si>
  <si>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</si>
  <si>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</si>
  <si>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</si>
  <si>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</si>
  <si>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</si>
  <si>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</si>
  <si>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</si>
  <si>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</si>
  <si>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</si>
  <si>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</si>
  <si>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</si>
  <si>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</si>
  <si>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</si>
  <si>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</si>
  <si>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</si>
  <si>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</si>
  <si>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</si>
  <si>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</si>
  <si>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</si>
  <si>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</si>
  <si>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</si>
  <si>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</si>
  <si>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</si>
  <si>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</si>
  <si>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</si>
  <si>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</si>
  <si>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</si>
  <si>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</si>
  <si>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</si>
  <si>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</si>
  <si>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</si>
  <si>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</si>
  <si>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</si>
  <si>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</si>
  <si>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</si>
  <si>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</si>
  <si>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</si>
  <si>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</si>
  <si>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</si>
  <si>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</si>
  <si>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</si>
  <si>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</si>
  <si>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</si>
  <si>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</si>
  <si>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</si>
  <si>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</si>
  <si>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</si>
  <si>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</si>
  <si>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</si>
  <si>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</si>
  <si>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</si>
  <si>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</si>
  <si>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</si>
  <si>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</si>
  <si>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</si>
  <si>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</si>
  <si>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</si>
  <si>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</si>
  <si>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</si>
  <si>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</si>
  <si>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</si>
  <si>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</si>
  <si>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</si>
  <si>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</si>
  <si>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</si>
  <si>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</si>
  <si>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</si>
  <si>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</si>
  <si>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</si>
  <si>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</si>
  <si>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</si>
  <si>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</si>
  <si>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</si>
  <si>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</si>
  <si>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</si>
  <si>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</si>
  <si>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</si>
  <si>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</si>
  <si>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</si>
  <si>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</si>
  <si>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</si>
  <si>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</si>
  <si>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</si>
  <si>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</si>
  <si>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</si>
  <si>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</si>
  <si>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</si>
  <si>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</si>
  <si>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</si>
  <si>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</si>
  <si>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</si>
  <si>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</si>
  <si>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</si>
  <si>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</si>
  <si>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</si>
  <si>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</si>
  <si>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</si>
  <si>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</si>
  <si>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</si>
  <si>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</si>
  <si>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</si>
  <si>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</si>
  <si>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</si>
  <si>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</si>
  <si>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</si>
  <si>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</si>
  <si>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</si>
  <si>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</si>
  <si>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</si>
  <si>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</si>
  <si>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</si>
  <si>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</si>
  <si>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</si>
  <si>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</si>
  <si>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</si>
  <si>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</si>
  <si>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</si>
  <si>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</si>
  <si>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</si>
  <si>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</si>
  <si>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</si>
  <si>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</si>
  <si>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</si>
  <si>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</si>
  <si>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</si>
  <si>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</si>
  <si>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</si>
  <si>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</si>
  <si>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</si>
  <si>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</si>
  <si>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</si>
  <si>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</si>
  <si>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</si>
  <si>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</si>
  <si>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</si>
  <si>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</si>
  <si>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</si>
  <si>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</si>
  <si>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</si>
  <si>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</si>
  <si>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</si>
  <si>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</si>
  <si>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</si>
  <si>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</si>
  <si>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</si>
  <si>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</si>
  <si>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</si>
  <si>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</si>
  <si>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</si>
  <si>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</si>
  <si>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</si>
  <si>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</si>
  <si>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</si>
  <si>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</si>
  <si>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</si>
  <si>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</si>
  <si>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</si>
  <si>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</si>
  <si>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</si>
  <si>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</si>
  <si>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</si>
  <si>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</si>
  <si>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</si>
  <si>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</si>
  <si>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</si>
  <si>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</si>
  <si>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</si>
  <si>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</si>
  <si>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</si>
  <si>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</si>
  <si>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</si>
  <si>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</si>
  <si>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</si>
  <si>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</si>
  <si>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</si>
  <si>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</si>
  <si>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</si>
  <si>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</si>
  <si>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</si>
  <si>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</si>
  <si>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</si>
  <si>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</si>
  <si>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</si>
  <si>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</si>
  <si>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</si>
  <si>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</si>
  <si>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</si>
  <si>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</si>
  <si>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</si>
  <si>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</si>
  <si>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</si>
  <si>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</si>
  <si>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</si>
  <si>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</si>
  <si>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</si>
  <si>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</si>
  <si>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</si>
  <si>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</si>
  <si>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</si>
  <si>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</si>
  <si>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</si>
  <si>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</si>
  <si>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</si>
  <si>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</si>
  <si>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</si>
  <si>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</si>
  <si>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</si>
  <si>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</si>
  <si>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</si>
  <si>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</si>
  <si>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</si>
  <si>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</si>
  <si>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</si>
  <si>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</si>
  <si>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</si>
  <si>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</si>
  <si>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</si>
  <si>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</si>
  <si>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</si>
  <si>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</si>
  <si>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</si>
  <si>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</si>
  <si>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</si>
  <si>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</si>
  <si>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</si>
  <si>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</si>
  <si>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</si>
  <si>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</si>
  <si>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</si>
  <si>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</si>
  <si>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</si>
  <si>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</si>
  <si>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</si>
  <si>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</si>
  <si>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</si>
  <si>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</si>
  <si>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</si>
  <si>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</si>
  <si>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</si>
  <si>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</si>
  <si>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</si>
  <si>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</si>
  <si>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</si>
  <si>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</si>
  <si>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</si>
  <si>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</si>
  <si>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</si>
  <si>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</si>
  <si>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</si>
  <si>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</si>
  <si>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</si>
  <si>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</si>
  <si>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</si>
  <si>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</si>
  <si>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</si>
  <si>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</si>
  <si>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</si>
  <si>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</si>
  <si>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</si>
  <si>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</si>
  <si>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</si>
  <si>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</si>
  <si>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</si>
  <si>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</si>
  <si>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</si>
  <si>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</si>
  <si>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</si>
  <si>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</si>
  <si>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</si>
  <si>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</si>
  <si>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</si>
  <si>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</si>
  <si>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</si>
  <si>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</si>
  <si>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</si>
  <si>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</si>
  <si>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</si>
  <si>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</si>
  <si>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</si>
  <si>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</si>
  <si>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</si>
  <si>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</si>
  <si>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</si>
  <si>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</si>
  <si>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</si>
  <si>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</si>
  <si>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</si>
  <si>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</si>
  <si>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</si>
  <si>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</si>
  <si>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</si>
  <si>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</si>
  <si>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</si>
  <si>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</si>
  <si>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</si>
  <si>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</si>
  <si>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</si>
  <si>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</si>
  <si>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</si>
  <si>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</si>
  <si>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</si>
  <si>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</si>
  <si>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</si>
  <si>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</si>
  <si>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</si>
  <si>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</si>
  <si>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</si>
  <si>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</si>
  <si>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</si>
  <si>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</si>
  <si>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</si>
  <si>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</si>
  <si>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</si>
  <si>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</si>
  <si>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</si>
  <si>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</si>
  <si>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</si>
  <si>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</si>
  <si>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</si>
  <si>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</si>
  <si>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</si>
  <si>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</si>
  <si>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</si>
  <si>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</si>
  <si>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</si>
  <si>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</si>
  <si>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</si>
  <si>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</si>
  <si>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</si>
  <si>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</si>
  <si>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</si>
  <si>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</si>
  <si>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</si>
  <si>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</si>
  <si>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</si>
  <si>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</si>
  <si>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</si>
  <si>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</si>
  <si>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</si>
  <si>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</si>
  <si>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</si>
  <si>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</si>
  <si>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</si>
  <si>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</si>
  <si>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</si>
  <si>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</si>
  <si>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</si>
  <si>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</si>
  <si>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</si>
  <si>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</si>
  <si>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</si>
  <si>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</si>
  <si>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</si>
  <si>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</si>
  <si>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</si>
  <si>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</si>
  <si>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</si>
  <si>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</si>
  <si>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</si>
  <si>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</si>
  <si>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</si>
  <si>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</si>
  <si>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</si>
  <si>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</si>
  <si>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</si>
  <si>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</si>
  <si>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</si>
  <si>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</si>
  <si>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</si>
  <si>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</si>
  <si>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</si>
  <si>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</si>
  <si>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</si>
  <si>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</si>
  <si>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</si>
  <si>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</si>
  <si>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</si>
  <si>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</si>
  <si>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</si>
  <si>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</si>
  <si>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</si>
  <si>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</si>
  <si>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</si>
  <si>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</si>
  <si>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</si>
  <si>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</si>
  <si>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</si>
  <si>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</si>
  <si>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</si>
  <si>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</si>
  <si>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</si>
  <si>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</si>
  <si>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</si>
  <si>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</si>
  <si>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</si>
  <si>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</si>
  <si>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</si>
  <si>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</si>
  <si>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</si>
  <si>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</si>
  <si>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</si>
  <si>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</si>
  <si>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</si>
  <si>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</si>
  <si>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</si>
  <si>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</si>
  <si>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</si>
  <si>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</si>
  <si>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</si>
  <si>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</si>
  <si>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</si>
  <si>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</si>
  <si>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</si>
  <si>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</si>
  <si>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</si>
  <si>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</si>
  <si>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</si>
  <si>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</si>
  <si>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</si>
  <si>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</si>
  <si>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</si>
  <si>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</si>
  <si>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</si>
  <si>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</si>
  <si>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</si>
  <si>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</si>
  <si>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</si>
  <si>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</si>
  <si>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</si>
  <si>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</si>
  <si>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</si>
  <si>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</si>
  <si>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</si>
  <si>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</si>
  <si>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</si>
  <si>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</si>
  <si>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</si>
  <si>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</si>
  <si>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</si>
  <si>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</si>
  <si>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</si>
  <si>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</si>
  <si>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</si>
  <si>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</si>
  <si>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</si>
  <si>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</si>
  <si>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</si>
  <si>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</si>
  <si>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</si>
  <si>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</si>
  <si>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</si>
  <si>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</si>
  <si>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</si>
  <si>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</si>
  <si>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</si>
  <si>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</si>
  <si>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</si>
  <si>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</si>
  <si>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</si>
  <si>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</si>
  <si>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</si>
  <si>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</si>
  <si>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</si>
  <si>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</si>
  <si>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</si>
  <si>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</si>
  <si>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</si>
  <si>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</si>
  <si>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</si>
  <si>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</si>
  <si>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</si>
  <si>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</si>
  <si>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</si>
  <si>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</si>
  <si>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</si>
  <si>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</si>
  <si>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</si>
  <si>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</si>
  <si>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</si>
  <si>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</si>
  <si>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</si>
  <si>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</si>
  <si>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</si>
  <si>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</si>
  <si>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</si>
  <si>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</si>
  <si>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</si>
  <si>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</si>
  <si>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</si>
  <si>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</si>
  <si>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</si>
  <si>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</si>
  <si>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</si>
  <si>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</si>
  <si>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</si>
  <si>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</si>
  <si>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</si>
  <si>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</si>
  <si>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</si>
  <si>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</si>
  <si>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</si>
  <si>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</si>
  <si>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</si>
  <si>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</si>
  <si>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</si>
  <si>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</si>
  <si>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</si>
  <si>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</si>
  <si>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</si>
  <si>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</si>
  <si>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</si>
  <si>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</si>
  <si>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</si>
  <si>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</si>
  <si>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</si>
  <si>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</si>
  <si>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</si>
  <si>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</si>
  <si>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</si>
  <si>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</si>
  <si>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</si>
  <si>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</si>
  <si>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</si>
  <si>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</si>
  <si>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</si>
  <si>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</si>
  <si>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</si>
  <si>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</si>
  <si>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</si>
  <si>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</si>
  <si>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</si>
  <si>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</si>
  <si>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</si>
  <si>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</si>
  <si>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</si>
  <si>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</si>
  <si>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</si>
  <si>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</si>
  <si>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</si>
  <si>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</si>
  <si>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</si>
  <si>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</si>
  <si>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</si>
  <si>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</si>
  <si>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</si>
  <si>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</si>
  <si>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</si>
  <si>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</si>
  <si>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</si>
  <si>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</si>
  <si>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</si>
  <si>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</si>
  <si>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</si>
  <si>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</si>
  <si>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</si>
  <si>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</si>
  <si>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</si>
  <si>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</si>
  <si>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</si>
  <si>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</si>
  <si>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</si>
  <si>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</si>
  <si>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</si>
  <si>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</si>
  <si>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</si>
  <si>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</si>
  <si>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</si>
  <si>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</si>
  <si>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</si>
  <si>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</si>
  <si>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</si>
  <si>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</si>
  <si>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</si>
  <si>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</si>
  <si>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</si>
  <si>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</si>
  <si>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</si>
  <si>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</si>
  <si>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</si>
  <si>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</si>
  <si>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</si>
  <si>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</si>
  <si>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</si>
  <si>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</si>
  <si>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</si>
  <si>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</si>
  <si>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</si>
  <si>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</si>
  <si>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</si>
  <si>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</si>
  <si>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</si>
  <si>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</si>
  <si>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</si>
  <si>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</si>
  <si>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</si>
  <si>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</si>
  <si>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</si>
  <si>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</si>
  <si>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</si>
  <si>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</si>
  <si>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</si>
  <si>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</si>
  <si>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</si>
  <si>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</si>
  <si>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</si>
  <si>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</si>
  <si>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</si>
  <si>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</si>
  <si>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</si>
  <si>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</si>
  <si>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</si>
  <si>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</si>
  <si>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</si>
  <si>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</si>
  <si>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</si>
  <si>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</si>
  <si>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</si>
  <si>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</si>
  <si>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</si>
  <si>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</si>
  <si>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</si>
  <si>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</si>
  <si>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</si>
  <si>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</si>
  <si>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</si>
  <si>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</si>
  <si>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</si>
  <si>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</si>
  <si>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</si>
  <si>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</si>
  <si>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</si>
  <si>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</si>
  <si>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</si>
  <si>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</si>
  <si>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</si>
  <si>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</si>
  <si>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</si>
  <si>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</si>
  <si>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</si>
  <si>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</si>
  <si>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</si>
  <si>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</si>
  <si>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</si>
  <si>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</si>
  <si>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</si>
  <si>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</si>
  <si>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</si>
  <si>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</si>
  <si>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</si>
  <si>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</si>
  <si>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</si>
  <si>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</si>
  <si>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</si>
  <si>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</si>
  <si>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</si>
  <si>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</si>
  <si>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</si>
  <si>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</si>
  <si>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</si>
  <si>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</si>
  <si>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</si>
  <si>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</si>
  <si>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</si>
  <si>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</si>
  <si>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</si>
  <si>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</si>
  <si>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</si>
  <si>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</si>
  <si>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</si>
  <si>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</si>
  <si>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</si>
  <si>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</si>
  <si>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</si>
  <si>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</si>
  <si>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</si>
  <si>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</si>
  <si>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</si>
  <si>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</si>
  <si>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</si>
  <si>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</si>
  <si>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</si>
  <si>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</si>
  <si>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</si>
  <si>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</si>
  <si>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</si>
  <si>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</si>
  <si>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</si>
  <si>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</si>
  <si>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</si>
  <si>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</si>
  <si>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</si>
  <si>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</si>
  <si>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</si>
  <si>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</si>
  <si>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</si>
  <si>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</si>
  <si>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</si>
  <si>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</si>
  <si>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</si>
  <si>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</si>
  <si>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</si>
  <si>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</si>
  <si>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</si>
  <si>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</si>
  <si>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</si>
  <si>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</si>
  <si>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</si>
  <si>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</si>
  <si>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</si>
  <si>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</si>
  <si>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</si>
  <si>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</si>
  <si>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</si>
  <si>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</si>
  <si>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</si>
  <si>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</si>
  <si>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</si>
  <si>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</si>
  <si>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</si>
  <si>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</si>
  <si>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</si>
  <si>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</si>
  <si>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</si>
  <si>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</si>
  <si>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</si>
  <si>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</si>
  <si>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</si>
  <si>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</si>
  <si>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</si>
  <si>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</si>
  <si>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</si>
  <si>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</si>
  <si>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</si>
  <si>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</si>
  <si>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</si>
  <si>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</si>
  <si>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</si>
  <si>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</si>
  <si>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</si>
  <si>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</si>
  <si>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</si>
  <si>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</si>
  <si>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</si>
  <si>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</si>
  <si>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</si>
  <si>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</si>
  <si>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</si>
  <si>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</si>
  <si>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</si>
  <si>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</si>
  <si>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</si>
  <si>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</si>
  <si>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</si>
  <si>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</si>
  <si>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</si>
  <si>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</si>
  <si>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</si>
  <si>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</si>
  <si>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</si>
  <si>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</si>
  <si>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</si>
  <si>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</si>
  <si>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</si>
  <si>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</si>
  <si>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</si>
  <si>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</si>
  <si>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</si>
  <si>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</si>
  <si>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</si>
  <si>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</si>
  <si>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</si>
  <si>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</si>
  <si>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</si>
  <si>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</si>
  <si>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</si>
  <si>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</si>
  <si>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</si>
  <si>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</si>
  <si>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</si>
  <si>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</si>
  <si>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</si>
  <si>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</si>
  <si>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</si>
  <si>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</si>
  <si>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</si>
  <si>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</si>
  <si>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</si>
  <si>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</si>
  <si>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</si>
  <si>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</si>
  <si>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</si>
  <si>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</si>
  <si>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</si>
  <si>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</si>
  <si>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</si>
  <si>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</si>
  <si>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</si>
  <si>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</si>
  <si>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</si>
  <si>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</si>
  <si>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</si>
  <si>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</si>
  <si>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</si>
  <si>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</si>
  <si>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</si>
  <si>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</si>
  <si>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</si>
  <si>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</si>
  <si>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</si>
  <si>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</si>
  <si>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</si>
  <si>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</si>
  <si>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</si>
  <si>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</si>
  <si>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</si>
  <si>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</si>
  <si>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</si>
  <si>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</si>
  <si>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</si>
  <si>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</si>
  <si>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</si>
  <si>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</si>
  <si>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</si>
  <si>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</si>
  <si>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</si>
  <si>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</si>
  <si>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</si>
  <si>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</si>
  <si>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</si>
  <si>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</si>
  <si>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</si>
  <si>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</si>
  <si>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</si>
  <si>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</si>
  <si>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</si>
  <si>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</si>
  <si>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</si>
  <si>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</si>
  <si>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</si>
  <si>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</si>
  <si>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</si>
  <si>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</si>
  <si>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</si>
  <si>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</si>
  <si>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</si>
  <si>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</si>
  <si>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</si>
  <si>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</si>
  <si>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</si>
  <si>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</si>
  <si>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</si>
  <si>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</si>
  <si>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</si>
  <si>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</si>
  <si>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</si>
  <si>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</si>
  <si>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</si>
  <si>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</si>
  <si>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</si>
  <si>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</si>
  <si>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</si>
  <si>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</si>
  <si>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</si>
  <si>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</si>
  <si>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</si>
  <si>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</si>
  <si>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</si>
  <si>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</si>
  <si>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</si>
  <si>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</si>
  <si>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</si>
  <si>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</si>
  <si>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</si>
  <si>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</si>
  <si>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</si>
  <si>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</si>
  <si>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</si>
  <si>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</si>
  <si>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</si>
  <si>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</si>
  <si>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</si>
  <si>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</si>
  <si>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</si>
  <si>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</si>
  <si>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</si>
  <si>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</si>
  <si>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</si>
  <si>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</si>
  <si>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</si>
  <si>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</si>
  <si>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</si>
  <si>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</si>
  <si>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</si>
  <si>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</si>
  <si>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</si>
  <si>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</si>
  <si>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</si>
  <si>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</si>
  <si>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</si>
  <si>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</si>
  <si>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</si>
  <si>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</si>
  <si>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</si>
  <si>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</si>
  <si>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</si>
  <si>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</si>
  <si>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</si>
  <si>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</si>
  <si>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</si>
  <si>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</si>
  <si>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</si>
  <si>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</si>
  <si>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</si>
  <si>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</si>
  <si>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</si>
  <si>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</si>
  <si>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</si>
  <si>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</si>
  <si>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</si>
  <si>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</si>
  <si>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</si>
  <si>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</si>
  <si>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</si>
  <si>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</si>
  <si>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</si>
  <si>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</si>
  <si>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</si>
  <si>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</si>
  <si>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</si>
  <si>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</si>
  <si>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</si>
  <si>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</si>
  <si>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</si>
  <si>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</si>
  <si>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</si>
  <si>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</si>
  <si>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</si>
  <si>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</si>
  <si>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</si>
  <si>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</si>
  <si>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</si>
  <si>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</si>
  <si>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</si>
  <si>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</si>
  <si>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</si>
  <si>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</si>
  <si>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</si>
  <si>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</si>
  <si>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</si>
  <si>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</si>
  <si>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</si>
  <si>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</si>
  <si>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</si>
  <si>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</si>
  <si>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</si>
  <si>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</si>
  <si>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</si>
  <si>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</si>
  <si>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</si>
  <si>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</si>
  <si>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</si>
  <si>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</si>
  <si>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</si>
  <si>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</si>
  <si>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</si>
  <si>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</si>
  <si>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</si>
  <si>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</si>
  <si>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</si>
  <si>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</si>
  <si>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</si>
  <si>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</si>
  <si>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</si>
  <si>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</si>
  <si>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</si>
  <si>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</si>
  <si>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</si>
  <si>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</si>
  <si>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</si>
  <si>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</si>
  <si>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</si>
  <si>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</si>
  <si>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</si>
  <si>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</si>
  <si>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</si>
  <si>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</si>
  <si>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</si>
  <si>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</si>
  <si>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</si>
  <si>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</si>
  <si>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</si>
  <si>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</si>
  <si>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</si>
  <si>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</si>
  <si>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</si>
  <si>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</si>
  <si>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</si>
  <si>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</si>
  <si>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</si>
  <si>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</si>
  <si>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</si>
  <si>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</si>
  <si>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</si>
  <si>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</si>
  <si>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</si>
  <si>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</si>
  <si>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</si>
  <si>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</si>
  <si>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</si>
  <si>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</si>
  <si>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</si>
  <si>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</si>
  <si>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</si>
  <si>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</si>
  <si>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</si>
  <si>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</si>
  <si>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</si>
  <si>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</si>
  <si>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</si>
  <si>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</si>
  <si>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</si>
  <si>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</si>
  <si>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</si>
  <si>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</si>
  <si>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</si>
  <si>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</si>
  <si>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</si>
  <si>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</si>
  <si>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</si>
  <si>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</si>
  <si>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</si>
  <si>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</si>
  <si>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</si>
  <si>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</si>
  <si>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</si>
  <si>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</si>
  <si>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</si>
  <si>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</si>
  <si>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</si>
  <si>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</si>
  <si>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</si>
  <si>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</si>
  <si>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</si>
  <si>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</si>
  <si>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</si>
  <si>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</si>
  <si>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</si>
  <si>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</si>
  <si>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</si>
  <si>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</si>
  <si>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</si>
  <si>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</si>
  <si>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</si>
  <si>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</si>
  <si>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</si>
  <si>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</si>
  <si>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</si>
  <si>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</si>
  <si>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</si>
  <si>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</si>
  <si>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</si>
  <si>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</si>
  <si>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</si>
  <si>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</si>
  <si>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</si>
  <si>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</si>
  <si>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</si>
  <si>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</si>
  <si>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</si>
  <si>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</si>
  <si>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</si>
  <si>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</si>
  <si>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</si>
  <si>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</si>
  <si>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</si>
  <si>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</si>
  <si>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</si>
  <si>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</si>
  <si>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</si>
  <si>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</si>
  <si>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</si>
  <si>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</si>
  <si>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</si>
  <si>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</si>
  <si>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</si>
  <si>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</si>
  <si>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</si>
  <si>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</si>
  <si>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</si>
  <si>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</si>
  <si>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</si>
  <si>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</si>
  <si>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</si>
  <si>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</si>
  <si>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</si>
  <si>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</si>
  <si>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</si>
  <si>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</si>
  <si>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</si>
  <si>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</si>
  <si>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</si>
  <si>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</si>
  <si>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</si>
  <si>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</si>
  <si>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</si>
  <si>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</si>
  <si>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</si>
  <si>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</si>
  <si>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</si>
  <si>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</si>
  <si>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</si>
  <si>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</si>
  <si>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</si>
  <si>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</si>
  <si>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</si>
  <si>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</si>
  <si>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</si>
  <si>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</si>
  <si>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</si>
  <si>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</si>
  <si>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</si>
  <si>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</si>
  <si>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</si>
  <si>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</si>
  <si>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</si>
  <si>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</si>
  <si>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</si>
  <si>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</si>
  <si>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</si>
  <si>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</si>
  <si>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</si>
  <si>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</si>
  <si>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</si>
  <si>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</si>
  <si>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</si>
  <si>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</si>
  <si>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</si>
  <si>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</si>
  <si>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</si>
  <si>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</si>
  <si>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</si>
  <si>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</si>
  <si>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</si>
  <si>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</si>
  <si>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</si>
  <si>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</si>
  <si>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</si>
  <si>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</si>
  <si>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</si>
  <si>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</si>
  <si>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</si>
  <si>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</si>
  <si>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</si>
  <si>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</si>
  <si>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</si>
  <si>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</si>
  <si>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</si>
  <si>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</si>
  <si>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</si>
  <si>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</si>
  <si>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</si>
  <si>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</si>
  <si>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</si>
  <si>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</si>
  <si>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</si>
  <si>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</si>
  <si>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</si>
  <si>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</si>
  <si>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</si>
  <si>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</si>
  <si>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</si>
  <si>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</si>
  <si>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</si>
  <si>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</si>
  <si>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</si>
  <si>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</si>
  <si>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</si>
  <si>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</si>
  <si>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</si>
  <si>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</si>
  <si>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</si>
  <si>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</si>
  <si>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</si>
  <si>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</si>
  <si>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</si>
  <si>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</si>
  <si>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</si>
  <si>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</si>
  <si>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</si>
  <si>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</si>
  <si>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</si>
  <si>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</si>
  <si>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</si>
  <si>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</si>
  <si>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</si>
  <si>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</si>
  <si>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</si>
  <si>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</si>
  <si>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</si>
  <si>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</si>
  <si>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</si>
  <si>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</si>
  <si>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</si>
  <si>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</si>
  <si>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</si>
  <si>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</si>
  <si>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</si>
  <si>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</si>
  <si>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</si>
  <si>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</si>
  <si>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</si>
  <si>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</si>
  <si>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</si>
  <si>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</si>
  <si>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</si>
  <si>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</si>
  <si>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</si>
  <si>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</si>
  <si>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</si>
  <si>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</si>
  <si>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</si>
  <si>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</si>
  <si>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</si>
  <si>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</si>
  <si>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</si>
  <si>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</si>
  <si>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</si>
  <si>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</si>
  <si>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</si>
  <si>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</si>
  <si>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</si>
  <si>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</si>
  <si>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</si>
  <si>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</si>
  <si>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</si>
  <si>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</si>
  <si>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</si>
  <si>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</si>
  <si>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</si>
  <si>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</si>
  <si>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</si>
  <si>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</si>
  <si>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</si>
  <si>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</si>
  <si>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</si>
  <si>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</si>
  <si>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</si>
  <si>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</si>
  <si>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</si>
  <si>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</si>
  <si>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</si>
  <si>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</si>
  <si>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</si>
  <si>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</si>
  <si>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</si>
  <si>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</si>
  <si>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</si>
  <si>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</si>
  <si>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</si>
  <si>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</si>
  <si>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</si>
  <si>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</si>
  <si>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</si>
  <si>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</si>
  <si>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</si>
  <si>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</si>
  <si>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</si>
  <si>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</si>
  <si>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</si>
  <si>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</si>
  <si>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</si>
  <si>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</si>
  <si>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</si>
  <si>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</si>
  <si>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</si>
  <si>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</si>
  <si>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</si>
  <si>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</si>
  <si>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</si>
  <si>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</si>
  <si>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</si>
  <si>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</si>
  <si>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</si>
  <si>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</si>
  <si>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</si>
  <si>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</si>
  <si>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</si>
  <si>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</si>
  <si>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</si>
  <si>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</si>
  <si>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</si>
  <si>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</si>
  <si>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</si>
  <si>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</si>
  <si>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</si>
  <si>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</si>
  <si>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</si>
  <si>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</si>
  <si>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</si>
  <si>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</si>
  <si>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</si>
  <si>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</si>
  <si>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</si>
  <si>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</si>
  <si>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</si>
  <si>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</si>
  <si>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</si>
  <si>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</si>
  <si>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</si>
  <si>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</si>
  <si>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</si>
  <si>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</si>
  <si>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</si>
  <si>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</si>
  <si>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</si>
  <si>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</si>
  <si>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</si>
  <si>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</si>
  <si>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</si>
  <si>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</si>
  <si>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</si>
  <si>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</si>
  <si>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</si>
  <si>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</si>
  <si>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</si>
  <si>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</si>
  <si>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</si>
  <si>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</si>
  <si>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</si>
  <si>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</si>
  <si>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</si>
  <si>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</si>
  <si>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</si>
  <si>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</si>
  <si>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</si>
  <si>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</si>
  <si>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</si>
  <si>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</si>
  <si>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</si>
  <si>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</si>
  <si>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</si>
  <si>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</si>
  <si>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</si>
  <si>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</si>
  <si>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</si>
  <si>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</si>
  <si>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</si>
  <si>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</si>
  <si>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</si>
  <si>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</si>
  <si>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</si>
  <si>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</si>
  <si>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</si>
  <si>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</si>
  <si>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</si>
  <si>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</si>
  <si>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</si>
  <si>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</si>
  <si>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</si>
  <si>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</si>
  <si>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</si>
  <si>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</si>
  <si>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</si>
  <si>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</si>
  <si>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</si>
  <si>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</si>
  <si>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</si>
  <si>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</si>
  <si>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</si>
  <si>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</si>
  <si>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</si>
  <si>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</si>
  <si>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</si>
  <si>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</si>
  <si>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</si>
  <si>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</si>
  <si>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</si>
  <si>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</si>
  <si>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</si>
  <si>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</si>
  <si>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</si>
  <si>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</si>
  <si>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</si>
  <si>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</si>
  <si>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</si>
  <si>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</si>
  <si>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</si>
  <si>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</si>
  <si>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</si>
  <si>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</si>
  <si>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</si>
  <si>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</si>
  <si>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</si>
  <si>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</si>
  <si>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</si>
  <si>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</si>
  <si>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</si>
  <si>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</si>
  <si>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</si>
  <si>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</si>
  <si>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</si>
  <si>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</si>
  <si>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</si>
  <si>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</si>
  <si>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</si>
  <si>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</si>
  <si>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</si>
  <si>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</si>
  <si>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</si>
  <si>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</si>
  <si>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</si>
  <si>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</si>
  <si>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</si>
  <si>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</si>
  <si>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</si>
  <si>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</si>
  <si>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</si>
  <si>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</si>
  <si>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</si>
  <si>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</si>
  <si>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</si>
  <si>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</si>
  <si>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</si>
  <si>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</si>
  <si>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</si>
  <si>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</si>
  <si>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</si>
  <si>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</si>
  <si>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</si>
  <si>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</si>
  <si>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</si>
  <si>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</si>
  <si>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</si>
  <si>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</si>
  <si>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</si>
  <si>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</si>
  <si>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</si>
  <si>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</si>
  <si>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</si>
  <si>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</si>
  <si>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</si>
  <si>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</si>
  <si>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</si>
  <si>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</si>
  <si>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</si>
  <si>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</si>
  <si>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</si>
  <si>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</si>
  <si>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</si>
  <si>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</si>
  <si>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</si>
  <si>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</si>
  <si>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</si>
  <si>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</si>
  <si>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</si>
  <si>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</si>
  <si>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</si>
  <si>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</si>
  <si>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</si>
  <si>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</si>
  <si>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</si>
  <si>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</si>
  <si>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</si>
  <si>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</si>
  <si>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</si>
  <si>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</si>
  <si>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</si>
  <si>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</si>
  <si>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</si>
  <si>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</si>
  <si>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</si>
  <si>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</si>
  <si>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</si>
  <si>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</si>
  <si>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</si>
  <si>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</si>
  <si>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</si>
  <si>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</si>
  <si>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</si>
  <si>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</si>
  <si>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</si>
  <si>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</si>
  <si>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</si>
  <si>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</si>
  <si>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</si>
  <si>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</si>
  <si>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</si>
  <si>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</si>
  <si>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</si>
  <si>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</si>
  <si>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</si>
  <si>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</si>
  <si>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</si>
  <si>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</si>
  <si>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</si>
  <si>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</si>
  <si>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</si>
  <si>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</si>
  <si>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</si>
  <si>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</si>
  <si>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</si>
  <si>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</si>
  <si>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</si>
  <si>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</si>
  <si>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</si>
  <si>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</si>
  <si>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</si>
  <si>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</si>
  <si>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</si>
  <si>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</si>
  <si>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</si>
  <si>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</si>
  <si>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</si>
  <si>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</si>
  <si>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</si>
  <si>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</si>
  <si>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</si>
  <si>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</si>
  <si>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</si>
  <si>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</si>
  <si>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</si>
  <si>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</si>
  <si>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</si>
  <si>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</si>
  <si>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</si>
  <si>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</si>
  <si>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</si>
  <si>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</si>
  <si>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</si>
  <si>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</si>
  <si>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</si>
  <si>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</si>
  <si>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</si>
  <si>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</si>
  <si>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</si>
  <si>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</si>
  <si>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</si>
  <si>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</si>
  <si>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</si>
  <si>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</si>
  <si>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</si>
  <si>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</si>
  <si>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</si>
  <si>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</si>
  <si>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</si>
  <si>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</si>
  <si>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</si>
  <si>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</si>
  <si>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</si>
  <si>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</si>
  <si>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</si>
  <si>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</si>
  <si>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</si>
  <si>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</si>
  <si>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</si>
  <si>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</si>
  <si>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</si>
  <si>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</si>
  <si>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</si>
  <si>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</si>
  <si>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</si>
  <si>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</si>
  <si>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</si>
  <si>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</si>
  <si>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</si>
  <si>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</si>
  <si>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</si>
  <si>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</si>
  <si>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</si>
  <si>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</si>
  <si>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</si>
  <si>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</si>
  <si>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</si>
  <si>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</si>
  <si>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</si>
  <si>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</si>
  <si>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</si>
  <si>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</si>
  <si>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</si>
  <si>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</si>
  <si>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</si>
  <si>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</si>
  <si>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</si>
  <si>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</si>
  <si>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</si>
  <si>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</si>
  <si>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</si>
  <si>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</si>
  <si>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</si>
  <si>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</si>
  <si>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</si>
  <si>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</si>
  <si>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</si>
  <si>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</si>
  <si>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</si>
  <si>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</si>
  <si>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</si>
  <si>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</si>
  <si>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</si>
  <si>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</si>
  <si>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</si>
  <si>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</si>
  <si>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</si>
  <si>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</si>
  <si>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</si>
  <si>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</si>
  <si>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</si>
  <si>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</si>
  <si>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</si>
  <si>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</si>
  <si>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</si>
  <si>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</si>
  <si>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</si>
  <si>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</si>
  <si>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</si>
  <si>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</si>
  <si>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</si>
  <si>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</si>
  <si>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</si>
  <si>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</si>
  <si>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</si>
  <si>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</si>
  <si>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</si>
  <si>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</si>
  <si>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</si>
  <si>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</si>
  <si>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</si>
  <si>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</si>
  <si>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</si>
  <si>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</si>
  <si>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</si>
  <si>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</si>
  <si>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</si>
  <si>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</si>
  <si>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</si>
  <si>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</si>
  <si>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</si>
  <si>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</si>
  <si>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</si>
  <si>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</si>
  <si>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</si>
  <si>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</si>
  <si>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</si>
  <si>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</si>
  <si>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</si>
  <si>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</si>
  <si>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</si>
  <si>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</si>
  <si>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</si>
  <si>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</si>
  <si>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</si>
  <si>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</si>
  <si>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</si>
  <si>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</si>
  <si>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</si>
  <si>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</si>
  <si>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</si>
  <si>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</si>
  <si>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</si>
  <si>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</si>
  <si>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</si>
  <si>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</si>
  <si>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</si>
  <si>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</si>
  <si>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</si>
  <si>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</si>
  <si>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</si>
  <si>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</si>
  <si>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</si>
  <si>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</si>
  <si>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</si>
  <si>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</si>
  <si>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</si>
  <si>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</si>
  <si>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</si>
  <si>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</si>
  <si>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</si>
  <si>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</si>
  <si>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</si>
  <si>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</si>
  <si>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</si>
  <si>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</si>
  <si>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</si>
  <si>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</si>
  <si>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</si>
  <si>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</si>
  <si>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</si>
  <si>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</si>
  <si>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</si>
  <si>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</si>
  <si>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</si>
  <si>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</si>
  <si>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</si>
  <si>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</si>
  <si>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</si>
  <si>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</si>
  <si>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</si>
  <si>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</si>
  <si>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</si>
  <si>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</si>
  <si>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</si>
  <si>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</si>
  <si>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</si>
  <si>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</si>
  <si>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</si>
  <si>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</si>
  <si>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</si>
  <si>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</si>
  <si>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</si>
  <si>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</si>
  <si>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</si>
  <si>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</si>
  <si>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</si>
  <si>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</si>
  <si>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</si>
  <si>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</si>
  <si>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</si>
  <si>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</si>
  <si>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</si>
  <si>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</si>
  <si>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</si>
  <si>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</si>
  <si>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</si>
  <si>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</si>
  <si>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</si>
  <si>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</si>
  <si>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</si>
  <si>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</si>
  <si>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</si>
  <si>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</si>
  <si>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</si>
  <si>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</si>
  <si>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</si>
  <si>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</si>
  <si>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</si>
  <si>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</si>
  <si>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</si>
  <si>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</si>
  <si>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</si>
  <si>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</si>
  <si>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</si>
  <si>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</si>
  <si>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</si>
  <si>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</si>
  <si>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</si>
  <si>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</si>
  <si>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</si>
  <si>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</si>
  <si>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</si>
  <si>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</si>
  <si>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</si>
  <si>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</si>
  <si>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</si>
  <si>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</si>
  <si>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</si>
  <si>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</si>
  <si>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</si>
  <si>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</si>
  <si>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</si>
  <si>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</si>
  <si>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</si>
  <si>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</si>
  <si>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</si>
  <si>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</si>
  <si>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</si>
  <si>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</si>
  <si>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</si>
  <si>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</si>
  <si>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</si>
  <si>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</si>
  <si>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</si>
  <si>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</si>
  <si>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</si>
  <si>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</si>
  <si>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</si>
  <si>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</si>
  <si>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</si>
  <si>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</si>
  <si>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</si>
  <si>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</si>
  <si>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</si>
  <si>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</si>
  <si>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</si>
  <si>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</si>
  <si>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</si>
  <si>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</si>
  <si>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</si>
  <si>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</si>
  <si>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</si>
  <si>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</si>
  <si>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</si>
  <si>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</si>
  <si>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</si>
  <si>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</si>
  <si>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</si>
  <si>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</si>
  <si>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</si>
  <si>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</si>
  <si>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</si>
  <si>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</si>
  <si>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</si>
  <si>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</si>
  <si>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</si>
  <si>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</si>
  <si>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</si>
  <si>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</si>
  <si>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</si>
  <si>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</si>
  <si>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</si>
  <si>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</si>
  <si>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</si>
  <si>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</si>
  <si>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</si>
  <si>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</si>
  <si>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</si>
  <si>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</si>
  <si>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</si>
  <si>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</si>
  <si>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</si>
  <si>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</si>
  <si>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</si>
  <si>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</si>
  <si>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</si>
  <si>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</si>
  <si>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</si>
  <si>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</si>
  <si>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</si>
  <si>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</si>
  <si>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</si>
  <si>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</si>
  <si>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</si>
  <si>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</si>
  <si>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</si>
  <si>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</si>
  <si>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</si>
  <si>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</si>
  <si>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</si>
  <si>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</si>
  <si>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</si>
  <si>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</si>
  <si>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</si>
  <si>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</si>
  <si>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</si>
  <si>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</si>
  <si>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</si>
  <si>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</si>
  <si>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</si>
  <si>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</si>
  <si>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</si>
  <si>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</si>
  <si>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</si>
  <si>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</si>
  <si>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</si>
  <si>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</si>
  <si>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</si>
  <si>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</si>
  <si>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</si>
  <si>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</si>
  <si>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</si>
  <si>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</si>
  <si>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</si>
  <si>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</si>
  <si>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</si>
  <si>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</si>
  <si>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</si>
  <si>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</si>
  <si>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</si>
  <si>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</si>
  <si>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</si>
  <si>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</si>
  <si>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</si>
  <si>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</si>
  <si>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</si>
  <si>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</si>
  <si>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</si>
  <si>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</si>
  <si>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</si>
  <si>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</si>
  <si>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</si>
  <si>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</si>
  <si>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</si>
  <si>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</si>
  <si>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</si>
  <si>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</si>
  <si>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</si>
  <si>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</si>
  <si>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</si>
  <si>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</si>
  <si>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</si>
  <si>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</si>
  <si>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</si>
  <si>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</si>
  <si>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</si>
  <si>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</si>
  <si>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</si>
  <si>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</si>
  <si>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</si>
  <si>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</si>
  <si>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</si>
  <si>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</si>
  <si>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</si>
  <si>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</si>
  <si>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</si>
  <si>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</si>
  <si>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</si>
  <si>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</si>
  <si>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</si>
  <si>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</si>
  <si>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</si>
  <si>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</si>
  <si>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</si>
  <si>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</si>
  <si>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</si>
  <si>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</si>
  <si>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</si>
  <si>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</si>
  <si>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</si>
  <si>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</si>
  <si>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</si>
  <si>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</si>
  <si>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</si>
  <si>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</si>
  <si>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</si>
  <si>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</si>
  <si>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</si>
  <si>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</si>
  <si>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</si>
  <si>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</si>
  <si>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</si>
  <si>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</si>
  <si>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</si>
  <si>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</si>
  <si>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</si>
  <si>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</si>
  <si>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</si>
  <si>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</si>
  <si>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</si>
  <si>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</si>
  <si>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</si>
  <si>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</si>
  <si>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</si>
  <si>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</si>
  <si>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</si>
  <si>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</si>
  <si>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</si>
  <si>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</si>
  <si>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</si>
  <si>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</si>
  <si>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</si>
  <si>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</si>
  <si>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</si>
  <si>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</si>
  <si>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</si>
  <si>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</si>
  <si>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</si>
  <si>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</si>
  <si>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</si>
  <si>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</si>
  <si>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</si>
  <si>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</si>
  <si>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</si>
  <si>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</si>
  <si>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</si>
  <si>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</si>
  <si>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</si>
  <si>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</si>
  <si>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</si>
  <si>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</si>
  <si>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</si>
  <si>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</si>
  <si>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</si>
  <si>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</si>
  <si>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</si>
  <si>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</si>
  <si>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</si>
  <si>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</si>
  <si>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</si>
  <si>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</si>
  <si>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</si>
  <si>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</si>
  <si>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</si>
  <si>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</si>
  <si>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</si>
  <si>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</si>
  <si>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</si>
  <si>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</si>
  <si>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</si>
  <si>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</si>
  <si>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</si>
  <si>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</si>
  <si>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</si>
  <si>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</si>
  <si>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</si>
  <si>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</si>
  <si>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</si>
  <si>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</si>
  <si>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</si>
  <si>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</si>
  <si>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</si>
  <si>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</si>
  <si>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</si>
  <si>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</si>
  <si>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</si>
  <si>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</si>
  <si>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</si>
  <si>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</si>
  <si>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</si>
  <si>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</si>
  <si>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</si>
  <si>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</si>
  <si>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</si>
  <si>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</si>
  <si>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</si>
  <si>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</si>
  <si>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</si>
  <si>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</si>
  <si>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</si>
  <si>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</si>
  <si>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</si>
  <si>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</si>
  <si>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</si>
  <si>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</si>
  <si>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</si>
  <si>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</si>
  <si>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</si>
  <si>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</si>
  <si>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</si>
  <si>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</si>
  <si>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</si>
  <si>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</si>
  <si>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</si>
  <si>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</si>
  <si>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</si>
  <si>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</si>
  <si>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</si>
  <si>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</si>
  <si>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</si>
  <si>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</si>
  <si>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</si>
  <si>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</si>
  <si>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</si>
  <si>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</si>
  <si>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</si>
  <si>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</si>
  <si>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</si>
  <si>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</si>
  <si>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</si>
  <si>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</si>
  <si>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</si>
  <si>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</si>
  <si>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</si>
  <si>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</si>
  <si>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</si>
  <si>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</si>
  <si>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</si>
  <si>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</si>
  <si>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</si>
  <si>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</si>
  <si>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</si>
  <si>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</si>
  <si>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</si>
  <si>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</si>
  <si>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</si>
  <si>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</si>
  <si>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</si>
  <si>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</si>
  <si>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</si>
  <si>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</si>
  <si>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</si>
  <si>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</si>
  <si>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</si>
  <si>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</si>
  <si>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</si>
  <si>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</si>
  <si>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</si>
  <si>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</si>
  <si>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</si>
  <si>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</si>
  <si>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</si>
  <si>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</si>
  <si>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</si>
  <si>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</si>
  <si>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</si>
  <si>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</si>
  <si>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</si>
  <si>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</si>
  <si>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</si>
  <si>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</si>
  <si>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</si>
  <si>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</si>
  <si>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</si>
  <si>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</si>
  <si>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</si>
  <si>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</si>
  <si>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</si>
  <si>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</si>
  <si>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</si>
  <si>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</si>
  <si>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</si>
  <si>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</si>
  <si>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</si>
  <si>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</si>
  <si>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</si>
  <si>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</si>
  <si>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</si>
  <si>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</si>
  <si>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</si>
  <si>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</si>
  <si>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</si>
  <si>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</si>
  <si>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</si>
  <si>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</si>
  <si>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</si>
  <si>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</si>
  <si>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</si>
  <si>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</si>
  <si>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</si>
  <si>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</si>
  <si>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</si>
  <si>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</si>
  <si>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</si>
  <si>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</si>
  <si>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</si>
  <si>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</si>
  <si>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</si>
  <si>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</si>
  <si>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</si>
  <si>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</si>
  <si>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</si>
  <si>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</si>
  <si>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</si>
  <si>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</si>
  <si>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</si>
  <si>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</si>
  <si>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</si>
  <si>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</si>
  <si>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</si>
  <si>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</si>
  <si>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</si>
  <si>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</si>
  <si>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</si>
  <si>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</si>
  <si>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</si>
  <si>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</si>
  <si>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</si>
  <si>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</si>
  <si>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</si>
  <si>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</si>
  <si>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</si>
  <si>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</si>
  <si>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</si>
  <si>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</si>
  <si>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</si>
  <si>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</si>
  <si>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</si>
  <si>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</si>
  <si>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</si>
  <si>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</si>
  <si>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</si>
  <si>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</si>
  <si>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</si>
  <si>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</si>
  <si>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</si>
  <si>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</si>
  <si>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</si>
  <si>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</si>
  <si>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</si>
  <si>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</si>
  <si>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</si>
  <si>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</si>
  <si>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</si>
  <si>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</si>
  <si>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</si>
  <si>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</si>
  <si>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</si>
  <si>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</si>
  <si>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</si>
  <si>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</si>
  <si>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</si>
  <si>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</si>
  <si>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</si>
  <si>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</si>
  <si>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</si>
  <si>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</si>
  <si>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</si>
  <si>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</si>
  <si>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</si>
  <si>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</si>
  <si>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</si>
  <si>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</si>
  <si>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</si>
  <si>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</si>
  <si>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</si>
  <si>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</si>
  <si>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</si>
  <si>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</si>
  <si>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</si>
  <si>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</si>
  <si>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</si>
  <si>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</si>
  <si>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</si>
  <si>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</si>
  <si>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</si>
  <si>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</si>
  <si>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</si>
  <si>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</si>
  <si>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</si>
  <si>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</si>
  <si>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</si>
  <si>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</si>
  <si>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</si>
  <si>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</si>
  <si>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</si>
  <si>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</si>
  <si>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</si>
  <si>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</si>
  <si>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</si>
  <si>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</si>
  <si>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</si>
  <si>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</si>
  <si>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</si>
  <si>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</si>
  <si>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</si>
  <si>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</si>
  <si>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</si>
  <si>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</si>
  <si>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</si>
  <si>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</si>
  <si>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</si>
  <si>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</si>
  <si>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</si>
  <si>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</si>
  <si>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</si>
  <si>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</si>
  <si>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</si>
  <si>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</si>
  <si>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</si>
  <si>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</si>
  <si>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</si>
  <si>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</si>
  <si>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</si>
  <si>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</si>
  <si>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</si>
  <si>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</si>
  <si>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</si>
  <si>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</si>
  <si>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</si>
  <si>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</si>
  <si>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</si>
  <si>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</si>
  <si>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</si>
  <si>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</si>
  <si>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</si>
  <si>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</si>
  <si>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</si>
  <si>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</si>
  <si>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</si>
  <si>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</si>
  <si>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</si>
  <si>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</si>
  <si>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</si>
  <si>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</si>
  <si>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</si>
  <si>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</si>
  <si>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</si>
  <si>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</si>
  <si>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</si>
  <si>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</si>
  <si>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</si>
  <si>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</si>
  <si>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</si>
  <si>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</si>
  <si>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</si>
  <si>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</si>
  <si>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</si>
  <si>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</si>
  <si>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</si>
  <si>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</si>
  <si>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</si>
  <si>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</si>
  <si>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</si>
  <si>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</si>
  <si>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</si>
  <si>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</si>
  <si>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</si>
  <si>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</si>
  <si>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</si>
  <si>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</si>
  <si>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</si>
  <si>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</si>
  <si>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</si>
  <si>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</si>
  <si>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</si>
  <si>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</si>
  <si>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</si>
  <si>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</si>
  <si>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</si>
  <si>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</si>
  <si>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</si>
  <si>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</si>
  <si>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</si>
  <si>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</si>
  <si>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</si>
  <si>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</si>
  <si>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</si>
  <si>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</si>
  <si>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</si>
  <si>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</si>
  <si>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</si>
  <si>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</si>
  <si>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</si>
  <si>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</si>
  <si>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</si>
  <si>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</si>
  <si>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</si>
  <si>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</si>
  <si>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</si>
  <si>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</si>
  <si>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</si>
  <si>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</si>
  <si>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</si>
  <si>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</si>
  <si>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</si>
  <si>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</si>
  <si>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</si>
  <si>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</si>
  <si>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</si>
  <si>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</si>
  <si>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</si>
  <si>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</si>
  <si>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</si>
  <si>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</si>
  <si>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</si>
  <si>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</si>
  <si>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</si>
  <si>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</si>
  <si>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</si>
  <si>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</si>
  <si>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</si>
  <si>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</si>
  <si>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</si>
  <si>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</si>
  <si>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</si>
  <si>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</si>
  <si>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</si>
  <si>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</si>
  <si>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</si>
  <si>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</si>
  <si>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</si>
  <si>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</si>
  <si>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</si>
  <si>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</si>
  <si>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</si>
  <si>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</si>
  <si>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</si>
  <si>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</si>
  <si>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</si>
  <si>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</si>
  <si>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</si>
  <si>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</si>
  <si>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</si>
  <si>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</si>
  <si>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</si>
  <si>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</si>
  <si>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</si>
  <si>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</si>
  <si>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</si>
  <si>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</si>
  <si>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</si>
  <si>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</si>
  <si>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</si>
  <si>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</si>
  <si>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</si>
  <si>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</si>
  <si>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</si>
  <si>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</si>
  <si>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</si>
  <si>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</si>
  <si>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</si>
  <si>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</si>
  <si>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</si>
  <si>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</si>
  <si>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</si>
  <si>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</si>
  <si>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</si>
  <si>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</si>
  <si>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</si>
  <si>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</si>
  <si>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</si>
  <si>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</si>
  <si>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</si>
  <si>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</si>
  <si>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</si>
  <si>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</si>
  <si>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</si>
  <si>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</si>
  <si>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</si>
  <si>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</si>
  <si>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</si>
  <si>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</si>
  <si>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</si>
  <si>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</si>
  <si>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</si>
  <si>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</si>
  <si>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</si>
  <si>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</si>
  <si>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</si>
  <si>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</si>
  <si>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</si>
  <si>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</si>
  <si>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</si>
  <si>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</si>
  <si>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</si>
  <si>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</si>
  <si>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</si>
  <si>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</si>
  <si>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</si>
  <si>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</si>
  <si>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</si>
  <si>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</si>
  <si>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</si>
  <si>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</si>
  <si>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</si>
  <si>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</si>
  <si>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</si>
  <si>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</si>
  <si>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</si>
  <si>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</si>
  <si>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</si>
  <si>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</si>
  <si>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</si>
  <si>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</si>
  <si>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</si>
  <si>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</si>
  <si>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</si>
  <si>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</si>
  <si>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</si>
  <si>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</si>
  <si>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</si>
  <si>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</si>
  <si>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</si>
  <si>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</si>
  <si>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</si>
  <si>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</si>
  <si>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</si>
  <si>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</si>
  <si>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</si>
  <si>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</si>
  <si>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</si>
  <si>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</si>
  <si>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</si>
  <si>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</si>
  <si>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</si>
  <si>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</si>
  <si>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</si>
  <si>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</si>
  <si>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</si>
  <si>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</si>
  <si>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</si>
  <si>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</si>
  <si>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</si>
  <si>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</si>
  <si>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</si>
  <si>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</si>
  <si>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</si>
  <si>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</si>
  <si>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</si>
  <si>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</si>
  <si>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</si>
  <si>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</si>
  <si>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</si>
  <si>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</si>
  <si>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</si>
  <si>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</si>
  <si>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</si>
  <si>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</si>
  <si>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</si>
  <si>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</si>
  <si>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</si>
  <si>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</si>
  <si>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</si>
  <si>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</si>
  <si>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</si>
  <si>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</si>
  <si>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</si>
  <si>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</si>
  <si>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</si>
  <si>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</si>
  <si>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</si>
  <si>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</si>
  <si>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</si>
  <si>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</si>
  <si>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</si>
  <si>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</si>
  <si>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</si>
  <si>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</si>
  <si>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</si>
  <si>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</si>
  <si>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</si>
  <si>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</si>
  <si>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</si>
  <si>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</si>
  <si>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</si>
  <si>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</si>
  <si>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</si>
  <si>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</si>
  <si>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</si>
  <si>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</si>
  <si>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</si>
  <si>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</si>
  <si>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</si>
  <si>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</si>
  <si>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</si>
  <si>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</si>
  <si>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</si>
  <si>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</si>
  <si>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</si>
  <si>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</si>
  <si>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</si>
  <si>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</si>
  <si>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</si>
  <si>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</si>
  <si>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</si>
  <si>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</si>
  <si>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</si>
  <si>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</si>
  <si>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</si>
  <si>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</si>
  <si>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</si>
  <si>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</si>
  <si>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</si>
  <si>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</si>
  <si>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</si>
  <si>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</si>
  <si>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</si>
  <si>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</si>
  <si>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</si>
  <si>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</si>
  <si>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</si>
  <si>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</si>
  <si>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</si>
  <si>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</si>
  <si>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</si>
  <si>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</si>
  <si>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</si>
  <si>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</si>
  <si>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</si>
  <si>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</si>
  <si>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</si>
  <si>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</si>
  <si>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</si>
  <si>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</si>
  <si>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</si>
  <si>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</si>
  <si>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</si>
  <si>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</si>
  <si>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</si>
  <si>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</si>
  <si>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</si>
  <si>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</si>
  <si>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</si>
  <si>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</si>
  <si>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</si>
  <si>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</si>
  <si>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</si>
  <si>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</si>
  <si>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</si>
  <si>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</si>
  <si>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</si>
  <si>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</si>
  <si>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</si>
  <si>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</si>
  <si>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</si>
  <si>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</si>
  <si>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</si>
  <si>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</si>
  <si>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</si>
  <si>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</si>
  <si>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</si>
  <si>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</si>
  <si>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</si>
  <si>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</si>
  <si>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</si>
  <si>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</si>
  <si>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</si>
  <si>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</si>
  <si>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</si>
  <si>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</si>
  <si>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</si>
  <si>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</si>
  <si>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</si>
  <si>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</si>
  <si>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</si>
  <si>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</si>
  <si>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</si>
  <si>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</si>
  <si>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</si>
  <si>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</si>
  <si>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</si>
  <si>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</si>
  <si>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</si>
  <si>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</si>
  <si>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</si>
  <si>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</si>
  <si>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</si>
  <si>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</si>
  <si>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</si>
  <si>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</si>
  <si>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</si>
  <si>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</si>
  <si>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</si>
  <si>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</si>
  <si>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</si>
  <si>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</si>
  <si>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</si>
  <si>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</si>
  <si>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</si>
  <si>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</si>
  <si>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</si>
  <si>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</si>
  <si>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</si>
  <si>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</si>
  <si>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</si>
  <si>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</si>
  <si>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</si>
  <si>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</si>
  <si>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</si>
  <si>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</si>
  <si>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</si>
  <si>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</si>
  <si>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</si>
  <si>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</si>
  <si>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</si>
  <si>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</si>
  <si>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</si>
  <si>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</si>
  <si>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</si>
  <si>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</si>
  <si>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</si>
  <si>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</si>
  <si>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</si>
  <si>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</si>
  <si>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</si>
  <si>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</si>
  <si>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</si>
  <si>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</si>
  <si>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</si>
  <si>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</si>
  <si>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</si>
  <si>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</si>
  <si>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</si>
  <si>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</si>
  <si>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</si>
  <si>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</si>
  <si>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</si>
  <si>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</si>
  <si>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</si>
  <si>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</si>
  <si>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</si>
  <si>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</si>
  <si>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</si>
  <si>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</si>
  <si>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</si>
  <si>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</si>
  <si>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</si>
  <si>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</si>
  <si>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</si>
  <si>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</si>
  <si>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</si>
  <si>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</si>
  <si>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</si>
  <si>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</si>
  <si>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</si>
  <si>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</si>
  <si>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</si>
  <si>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</si>
  <si>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</si>
  <si>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</si>
  <si>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</si>
  <si>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</si>
  <si>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</si>
  <si>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</si>
  <si>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</si>
  <si>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</si>
  <si>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</si>
  <si>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</si>
  <si>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</si>
  <si>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</si>
  <si>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</si>
  <si>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</si>
  <si>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</si>
  <si>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</si>
  <si>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</si>
  <si>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</si>
  <si>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</si>
  <si>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</si>
  <si>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</si>
  <si>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</si>
  <si>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</si>
  <si>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</si>
  <si>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</si>
  <si>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</si>
  <si>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</si>
  <si>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</si>
  <si>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</si>
  <si>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</si>
  <si>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</si>
  <si>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</si>
  <si>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</si>
  <si>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</si>
  <si>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</si>
  <si>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</si>
  <si>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</si>
  <si>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</si>
  <si>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</si>
  <si>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</si>
  <si>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</si>
  <si>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</si>
  <si>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</si>
  <si>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</si>
  <si>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</si>
  <si>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</si>
  <si>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</si>
  <si>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</si>
  <si>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</si>
  <si>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</si>
  <si>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</si>
  <si>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</si>
  <si>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</si>
  <si>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</si>
  <si>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</si>
  <si>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</si>
  <si>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</si>
  <si>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</si>
  <si>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</si>
  <si>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</si>
  <si>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</si>
  <si>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</si>
  <si>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</si>
  <si>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</si>
  <si>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</si>
  <si>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</si>
  <si>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</si>
  <si>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</si>
  <si>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</si>
  <si>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</si>
  <si>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</si>
  <si>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</si>
  <si>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</si>
  <si>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</si>
  <si>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</si>
  <si>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</si>
  <si>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</si>
  <si>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</si>
  <si>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</si>
  <si>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</si>
  <si>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</si>
  <si>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</si>
  <si>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</si>
  <si>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</si>
  <si>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</si>
  <si>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</si>
  <si>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</si>
  <si>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</si>
  <si>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</si>
  <si>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</si>
  <si>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</si>
  <si>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</si>
  <si>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</si>
  <si>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</si>
  <si>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</si>
  <si>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</si>
  <si>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</si>
  <si>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</si>
  <si>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</si>
  <si>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</si>
  <si>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</si>
  <si>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</si>
  <si>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</si>
  <si>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</si>
  <si>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</si>
  <si>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</si>
  <si>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</si>
  <si>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</si>
  <si>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</si>
  <si>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</si>
  <si>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</si>
  <si>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</si>
  <si>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</si>
  <si>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</si>
  <si>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</si>
  <si>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</si>
  <si>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</si>
  <si>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</si>
  <si>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</si>
  <si>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</si>
  <si>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</si>
  <si>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</si>
  <si>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</si>
  <si>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</si>
  <si>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</si>
  <si>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</si>
  <si>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</si>
  <si>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</si>
  <si>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</si>
  <si>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</si>
  <si>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</si>
  <si>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</si>
  <si>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</si>
  <si>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</si>
  <si>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</si>
  <si>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</si>
  <si>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</si>
  <si>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</si>
  <si>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</si>
  <si>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</si>
  <si>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</si>
  <si>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</si>
  <si>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</si>
  <si>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</si>
  <si>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</si>
  <si>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</si>
  <si>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</si>
  <si>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</si>
  <si>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</si>
  <si>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</si>
  <si>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</si>
  <si>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</si>
  <si>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</si>
  <si>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</si>
  <si>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</si>
  <si>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</si>
  <si>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</si>
  <si>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</si>
  <si>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</si>
  <si>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</si>
  <si>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</si>
  <si>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</si>
  <si>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</si>
  <si>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</si>
  <si>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</si>
  <si>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</si>
  <si>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</si>
  <si>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</si>
  <si>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</si>
  <si>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</si>
  <si>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</si>
  <si>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</si>
  <si>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</si>
  <si>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</si>
  <si>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</si>
  <si>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</si>
  <si>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</si>
  <si>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</si>
  <si>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</si>
  <si>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</si>
  <si>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</si>
  <si>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</si>
  <si>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</si>
  <si>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</si>
  <si>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</si>
  <si>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</si>
  <si>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</si>
  <si>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</si>
  <si>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</si>
  <si>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</si>
  <si>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</si>
  <si>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</si>
  <si>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</si>
  <si>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</si>
  <si>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</si>
  <si>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</si>
  <si>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</si>
  <si>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</si>
  <si>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</si>
  <si>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</si>
  <si>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</si>
  <si>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</si>
  <si>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</si>
  <si>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</si>
  <si>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</si>
  <si>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</si>
  <si>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</si>
  <si>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</si>
  <si>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</si>
  <si>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</si>
  <si>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</si>
  <si>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</si>
  <si>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</si>
  <si>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</si>
  <si>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</si>
  <si>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</si>
  <si>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</si>
  <si>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</si>
  <si>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</si>
  <si>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</si>
  <si>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</si>
  <si>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</si>
  <si>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</si>
  <si>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</si>
  <si>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</si>
  <si>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</si>
  <si>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</si>
  <si>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</si>
  <si>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</si>
  <si>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</si>
  <si>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</si>
  <si>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</si>
  <si>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</si>
  <si>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</si>
  <si>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</si>
  <si>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</si>
  <si>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</si>
  <si>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</si>
  <si>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</si>
  <si>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</si>
  <si>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</si>
  <si>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</si>
  <si>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</si>
  <si>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</si>
  <si>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</si>
  <si>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</si>
  <si>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</si>
  <si>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</si>
  <si>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</si>
  <si>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</si>
  <si>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</si>
  <si>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</si>
  <si>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</si>
  <si>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</si>
  <si>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</si>
  <si>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</si>
  <si>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</si>
  <si>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</si>
  <si>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</si>
  <si>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</si>
  <si>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</si>
  <si>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</si>
  <si>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</si>
  <si>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</si>
  <si>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</si>
  <si>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</si>
  <si>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</si>
  <si>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</si>
  <si>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</si>
  <si>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</si>
  <si>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</si>
  <si>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</si>
  <si>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</si>
  <si>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</si>
  <si>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</si>
  <si>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</si>
  <si>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</si>
  <si>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</si>
  <si>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</si>
  <si>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</si>
  <si>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</si>
  <si>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</si>
  <si>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</si>
  <si>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</si>
  <si>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</si>
  <si>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</si>
  <si>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</si>
  <si>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</si>
  <si>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</si>
  <si>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</si>
  <si>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</si>
  <si>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</si>
  <si>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</si>
  <si>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</si>
  <si>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</si>
  <si>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</si>
  <si>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</si>
  <si>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</si>
  <si>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</si>
  <si>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</si>
  <si>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</si>
  <si>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</si>
  <si>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</si>
  <si>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</si>
  <si>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</si>
  <si>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</si>
  <si>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</si>
  <si>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</si>
  <si>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</si>
  <si>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</si>
  <si>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</si>
  <si>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</si>
  <si>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</si>
  <si>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</si>
  <si>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</si>
  <si>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</si>
  <si>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</si>
  <si>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</si>
  <si>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</si>
  <si>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</si>
  <si>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</si>
  <si>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</si>
  <si>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</si>
  <si>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</si>
  <si>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</si>
  <si>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</si>
  <si>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</si>
  <si>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</si>
  <si>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</si>
  <si>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</si>
  <si>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</si>
  <si>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</si>
  <si>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</si>
  <si>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</si>
  <si>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</si>
  <si>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</si>
  <si>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</si>
  <si>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</si>
  <si>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</si>
  <si>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</si>
  <si>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</si>
  <si>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</si>
  <si>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</si>
  <si>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</si>
  <si>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</si>
  <si>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</si>
  <si>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</si>
  <si>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</si>
  <si>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</si>
  <si>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</si>
  <si>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</si>
  <si>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</si>
  <si>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</si>
  <si>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</si>
  <si>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</si>
  <si>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</si>
  <si>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</si>
  <si>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</si>
  <si>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</si>
  <si>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</si>
  <si>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</si>
  <si>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</si>
  <si>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</si>
  <si>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</si>
  <si>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</si>
  <si>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</si>
  <si>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</si>
  <si>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</si>
  <si>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</si>
  <si>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</si>
  <si>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</si>
  <si>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</si>
  <si>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</si>
  <si>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</si>
  <si>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</si>
  <si>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</si>
  <si>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</si>
  <si>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</si>
  <si>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</si>
  <si>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</si>
  <si>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</si>
  <si>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</si>
  <si>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</si>
  <si>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</si>
  <si>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</si>
  <si>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</si>
  <si>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</si>
  <si>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</si>
  <si>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</si>
  <si>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</si>
  <si>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</si>
  <si>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</si>
  <si>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</si>
  <si>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</si>
  <si>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</si>
  <si>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</si>
  <si>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</si>
  <si>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</si>
  <si>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</si>
  <si>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</si>
  <si>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</si>
  <si>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</si>
  <si>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</si>
  <si>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</si>
  <si>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</si>
  <si>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</si>
  <si>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</si>
  <si>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</si>
  <si>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</si>
  <si>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</si>
  <si>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</si>
  <si>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</si>
  <si>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</si>
  <si>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</si>
  <si>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</si>
  <si>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</si>
  <si>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</si>
  <si>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</si>
  <si>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</si>
  <si>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</si>
  <si>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</si>
  <si>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</si>
  <si>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</si>
  <si>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</si>
  <si>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</si>
  <si>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</si>
  <si>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</si>
  <si>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</si>
  <si>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</si>
  <si>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</si>
  <si>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</si>
  <si>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</si>
  <si>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</si>
  <si>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</si>
  <si>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</si>
  <si>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</si>
  <si>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</si>
  <si>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</si>
  <si>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</si>
  <si>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</si>
  <si>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</si>
  <si>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</si>
  <si>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</si>
  <si>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</si>
  <si>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</si>
  <si>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</si>
  <si>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</si>
  <si>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</si>
  <si>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</si>
  <si>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</si>
  <si>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</si>
  <si>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</si>
  <si>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</si>
  <si>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</si>
  <si>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</si>
  <si>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</si>
  <si>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</si>
  <si>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</si>
  <si>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</si>
  <si>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</si>
  <si>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</si>
  <si>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</si>
  <si>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</si>
  <si>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</si>
  <si>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</si>
  <si>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</si>
  <si>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</si>
  <si>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</si>
  <si>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</si>
  <si>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</si>
  <si>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</si>
  <si>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</si>
  <si>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</si>
  <si>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</si>
  <si>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</si>
  <si>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</si>
  <si>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</si>
  <si>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</si>
  <si>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</si>
  <si>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</si>
  <si>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</si>
  <si>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</si>
  <si>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</si>
  <si>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</si>
  <si>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</si>
  <si>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</si>
  <si>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</si>
  <si>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</si>
  <si>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</si>
  <si>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</si>
  <si>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</si>
  <si>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</si>
  <si>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</si>
  <si>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</si>
  <si>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</si>
  <si>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</si>
  <si>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</si>
  <si>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</si>
  <si>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</si>
  <si>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</si>
  <si>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</si>
  <si>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</si>
  <si>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</si>
  <si>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</si>
  <si>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</si>
  <si>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</si>
  <si>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</si>
  <si>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</si>
  <si>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</si>
  <si>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</si>
  <si>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</si>
  <si>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</si>
  <si>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</si>
  <si>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</si>
  <si>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</si>
  <si>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</si>
  <si>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</si>
  <si>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</si>
  <si>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</si>
  <si>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</si>
  <si>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</si>
  <si>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</si>
  <si>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</si>
  <si>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</si>
  <si>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</si>
  <si>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</si>
  <si>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</si>
  <si>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</si>
  <si>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</si>
  <si>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</si>
  <si>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</si>
  <si>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</si>
  <si>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</si>
  <si>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</si>
  <si>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</si>
  <si>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</si>
  <si>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</si>
  <si>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</si>
  <si>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</si>
  <si>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</si>
  <si>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</si>
  <si>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</si>
  <si>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</si>
  <si>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</si>
  <si>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</si>
  <si>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</si>
  <si>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</si>
  <si>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</si>
  <si>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</si>
  <si>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</si>
  <si>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</si>
  <si>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</si>
  <si>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</si>
  <si>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</si>
  <si>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</si>
  <si>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</si>
  <si>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</si>
  <si>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</si>
  <si>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</si>
  <si>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</si>
  <si>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</si>
  <si>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</si>
  <si>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</si>
  <si>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</si>
  <si>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</si>
  <si>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</si>
  <si>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</si>
  <si>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</si>
  <si>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</si>
  <si>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</si>
  <si>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</si>
  <si>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</si>
  <si>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</si>
  <si>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</si>
  <si>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</si>
  <si>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</si>
  <si>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</si>
  <si>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</si>
  <si>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</si>
  <si>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</si>
  <si>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</si>
  <si>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</si>
  <si>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</si>
  <si>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</si>
  <si>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</si>
  <si>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</si>
  <si>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</si>
  <si>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</si>
  <si>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</si>
  <si>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</si>
  <si>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</si>
  <si>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</si>
  <si>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</si>
  <si>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</si>
  <si>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</si>
  <si>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</si>
  <si>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</si>
  <si>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</si>
  <si>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</si>
  <si>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</si>
  <si>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</si>
  <si>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</si>
  <si>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</si>
  <si>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</si>
  <si>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</si>
  <si>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</si>
  <si>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</si>
  <si>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</si>
  <si>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</si>
  <si>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</si>
  <si>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</si>
  <si>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</si>
  <si>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</si>
  <si>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</si>
  <si>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</si>
  <si>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</si>
  <si>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</si>
  <si>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</si>
  <si>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</si>
  <si>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</si>
  <si>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</si>
  <si>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</si>
  <si>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</si>
  <si>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</si>
  <si>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</si>
  <si>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</si>
  <si>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</si>
  <si>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</si>
  <si>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</si>
  <si>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</si>
  <si>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</si>
  <si>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</si>
  <si>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</si>
  <si>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</si>
  <si>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</si>
  <si>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</si>
  <si>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</si>
  <si>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</si>
  <si>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</si>
  <si>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</si>
  <si>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</si>
  <si>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</si>
  <si>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</si>
  <si>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</si>
  <si>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</si>
  <si>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</si>
  <si>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</si>
  <si>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</si>
  <si>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</si>
  <si>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</si>
  <si>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</si>
  <si>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</si>
  <si>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</si>
  <si>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</si>
  <si>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</si>
  <si>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</si>
  <si>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</si>
  <si>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</si>
  <si>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</si>
  <si>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</si>
  <si>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</si>
  <si>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</si>
  <si>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</si>
  <si>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</si>
  <si>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</si>
  <si>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</si>
  <si>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</si>
  <si>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</si>
  <si>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</si>
  <si>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</si>
  <si>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</si>
  <si>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</si>
  <si>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</si>
  <si>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</si>
  <si>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</si>
  <si>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</si>
  <si>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</si>
  <si>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</si>
  <si>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</si>
  <si>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</si>
  <si>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</si>
  <si>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</si>
  <si>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</si>
  <si>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</si>
  <si>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</si>
  <si>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</si>
  <si>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</si>
  <si>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</si>
  <si>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</si>
  <si>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</si>
  <si>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</si>
  <si>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</si>
  <si>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</si>
  <si>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</si>
  <si>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</si>
  <si>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</si>
  <si>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</si>
  <si>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</si>
  <si>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</si>
  <si>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</si>
  <si>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</si>
  <si>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</si>
  <si>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</si>
  <si>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</si>
  <si>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</si>
  <si>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</si>
  <si>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</si>
  <si>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</si>
  <si>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</si>
  <si>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</si>
  <si>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</si>
  <si>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</si>
  <si>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</si>
  <si>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</si>
  <si>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</si>
  <si>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</si>
  <si>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</si>
  <si>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</si>
  <si>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</si>
  <si>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</si>
  <si>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</si>
  <si>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</si>
  <si>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</si>
  <si>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</si>
  <si>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</si>
  <si>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</si>
  <si>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</si>
  <si>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</si>
  <si>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</si>
  <si>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</si>
  <si>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</si>
  <si>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</si>
  <si>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</si>
  <si>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</si>
  <si>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</si>
  <si>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</si>
  <si>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</si>
  <si>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</si>
  <si>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</si>
  <si>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</si>
  <si>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</si>
  <si>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</si>
  <si>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</si>
  <si>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</si>
  <si>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</si>
  <si>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</si>
  <si>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</si>
  <si>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</si>
  <si>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</si>
  <si>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</si>
  <si>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</si>
  <si>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</si>
  <si>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</si>
  <si>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</si>
  <si>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</si>
  <si>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</si>
  <si>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</si>
  <si>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</si>
  <si>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</si>
  <si>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</si>
  <si>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</si>
  <si>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</si>
  <si>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</si>
  <si>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</si>
  <si>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</si>
  <si>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</si>
  <si>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</si>
  <si>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</si>
  <si>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</si>
  <si>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</si>
  <si>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</si>
  <si>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</si>
  <si>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</si>
  <si>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</si>
  <si>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</si>
  <si>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</si>
  <si>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</si>
  <si>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</si>
  <si>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</si>
  <si>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</si>
  <si>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</si>
  <si>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</si>
  <si>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</si>
  <si>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</si>
  <si>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</si>
  <si>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</si>
  <si>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</si>
  <si>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</si>
  <si>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</si>
  <si>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</si>
  <si>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</si>
  <si>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</si>
  <si>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</si>
  <si>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</si>
  <si>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</si>
  <si>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</si>
  <si>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</si>
  <si>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</si>
  <si>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</si>
  <si>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</si>
  <si>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</si>
  <si>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</si>
  <si>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</si>
  <si>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</si>
  <si>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</si>
  <si>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</si>
  <si>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</si>
  <si>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</si>
  <si>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</si>
  <si>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</si>
  <si>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</si>
  <si>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</si>
  <si>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</si>
  <si>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</si>
  <si>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</si>
  <si>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</si>
  <si>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</si>
  <si>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</si>
  <si>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</si>
  <si>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</si>
  <si>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</si>
  <si>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</si>
  <si>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</si>
  <si>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</si>
  <si>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</si>
  <si>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</si>
  <si>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</si>
  <si>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</si>
  <si>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</si>
  <si>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</si>
  <si>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</si>
  <si>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</si>
  <si>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</si>
  <si>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</si>
  <si>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</si>
  <si>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</si>
  <si>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</si>
  <si>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</si>
  <si>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</si>
  <si>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</si>
  <si>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</si>
  <si>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</si>
  <si>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</si>
  <si>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</si>
  <si>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</si>
  <si>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</si>
  <si>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</si>
  <si>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</si>
  <si>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</si>
  <si>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</si>
  <si>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</si>
  <si>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</si>
  <si>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</si>
  <si>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</si>
  <si>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</si>
  <si>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</si>
  <si>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</si>
  <si>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</si>
  <si>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</si>
  <si>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</si>
  <si>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</si>
  <si>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</si>
  <si>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</si>
  <si>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</si>
  <si>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</si>
  <si>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</si>
  <si>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</si>
  <si>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</si>
  <si>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</si>
  <si>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</si>
  <si>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</si>
  <si>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</si>
  <si>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</si>
  <si>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</si>
  <si>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</si>
  <si>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</si>
  <si>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</si>
  <si>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</si>
  <si>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</si>
  <si>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</si>
  <si>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</si>
  <si>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</si>
  <si>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</si>
  <si>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</si>
  <si>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</si>
  <si>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</si>
  <si>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</si>
  <si>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</si>
  <si>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</si>
  <si>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</si>
  <si>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</si>
  <si>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</si>
  <si>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</si>
  <si>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</si>
  <si>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</si>
  <si>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</si>
  <si>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</si>
  <si>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</si>
  <si>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</si>
  <si>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</si>
  <si>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</si>
  <si>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</si>
  <si>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</si>
  <si>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</si>
  <si>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</si>
  <si>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</si>
  <si>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</si>
  <si>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</si>
  <si>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</si>
  <si>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</si>
  <si>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</si>
  <si>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</si>
  <si>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</si>
  <si>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</si>
  <si>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</si>
  <si>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</si>
  <si>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</si>
  <si>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</si>
  <si>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</si>
  <si>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</si>
  <si>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</si>
  <si>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</si>
  <si>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</si>
  <si>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</si>
  <si>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</si>
  <si>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</si>
  <si>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</si>
  <si>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</si>
  <si>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</si>
  <si>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</si>
  <si>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</si>
  <si>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</si>
  <si>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</si>
  <si>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</si>
  <si>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</si>
  <si>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</si>
  <si>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</si>
  <si>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</si>
  <si>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</si>
  <si>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</si>
  <si>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</si>
  <si>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</si>
  <si>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</si>
  <si>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</si>
  <si>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</si>
  <si>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</si>
  <si>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</si>
  <si>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</si>
  <si>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</si>
  <si>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</si>
  <si>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</si>
  <si>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</si>
  <si>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</si>
  <si>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</si>
  <si>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</si>
  <si>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</si>
  <si>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</si>
  <si>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</si>
  <si>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</si>
  <si>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</si>
  <si>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</si>
  <si>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</si>
  <si>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</si>
  <si>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</si>
  <si>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</si>
  <si>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</si>
  <si>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</si>
  <si>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</si>
  <si>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</si>
  <si>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</si>
  <si>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</si>
  <si>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</si>
  <si>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</si>
  <si>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</si>
  <si>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</si>
  <si>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</si>
  <si>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</si>
  <si>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</si>
  <si>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</si>
  <si>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</si>
  <si>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</si>
  <si>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</si>
  <si>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</si>
  <si>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</si>
  <si>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</si>
  <si>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</si>
  <si>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</si>
  <si>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</si>
  <si>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</si>
  <si>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</si>
  <si>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</si>
  <si>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</si>
  <si>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</si>
  <si>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</si>
  <si>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</si>
  <si>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</si>
  <si>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</si>
  <si>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</si>
  <si>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</si>
  <si>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</si>
  <si>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</si>
  <si>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</si>
  <si>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</si>
  <si>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</si>
  <si>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</si>
  <si>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</si>
  <si>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</si>
  <si>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</si>
  <si>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</si>
  <si>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</si>
  <si>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</si>
  <si>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</si>
  <si>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</si>
  <si>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</si>
  <si>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</si>
  <si>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</si>
  <si>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</si>
  <si>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</si>
  <si>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</si>
  <si>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</si>
  <si>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</si>
  <si>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</si>
  <si>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</si>
  <si>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</si>
  <si>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</si>
  <si>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</si>
  <si>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</si>
  <si>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</si>
  <si>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</si>
  <si>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</si>
  <si>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</si>
  <si>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</si>
  <si>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</si>
  <si>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</si>
  <si>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</si>
  <si>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</si>
  <si>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</si>
  <si>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</si>
  <si>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</si>
  <si>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</si>
  <si>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</si>
  <si>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</si>
  <si>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</si>
  <si>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</si>
  <si>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</si>
  <si>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</si>
  <si>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</si>
  <si>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</si>
  <si>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</si>
  <si>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</si>
  <si>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</si>
  <si>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</si>
  <si>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</si>
  <si>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</si>
  <si>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</si>
  <si>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</si>
  <si>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</si>
  <si>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</si>
  <si>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</si>
  <si>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</si>
  <si>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</si>
  <si>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</si>
  <si>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</si>
  <si>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</si>
  <si>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</si>
  <si>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</si>
  <si>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</si>
  <si>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</si>
  <si>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</si>
  <si>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</si>
  <si>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</si>
  <si>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</si>
  <si>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</si>
  <si>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</si>
  <si>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</si>
  <si>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</si>
  <si>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</si>
  <si>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</si>
  <si>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</si>
  <si>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</si>
  <si>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</si>
  <si>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</si>
  <si>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</si>
  <si>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</si>
  <si>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</si>
  <si>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</si>
  <si>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</si>
  <si>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</si>
  <si>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</si>
  <si>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</si>
  <si>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</si>
  <si>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</si>
  <si>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</si>
  <si>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</si>
  <si>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</si>
  <si>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</si>
  <si>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</si>
  <si>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</si>
  <si>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</si>
  <si>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</si>
  <si>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</si>
  <si>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</si>
  <si>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</si>
  <si>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</si>
  <si>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</si>
  <si>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</si>
  <si>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</si>
  <si>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</si>
  <si>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</si>
  <si>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</si>
  <si>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</si>
  <si>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</si>
  <si>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</si>
  <si>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</si>
  <si>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</si>
  <si>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</si>
  <si>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</si>
  <si>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</si>
  <si>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</si>
  <si>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</si>
  <si>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</si>
  <si>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</si>
  <si>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</si>
  <si>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</si>
  <si>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</si>
  <si>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</si>
  <si>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</si>
  <si>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</si>
  <si>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</si>
  <si>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</si>
  <si>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</si>
  <si>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</si>
  <si>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</si>
  <si>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</si>
  <si>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</si>
  <si>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</si>
  <si>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</si>
  <si>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</si>
  <si>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</si>
  <si>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</si>
  <si>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</si>
  <si>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</si>
  <si>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</si>
  <si>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</si>
  <si>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</si>
  <si>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</si>
  <si>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</si>
  <si>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</si>
  <si>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</si>
  <si>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</si>
  <si>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</si>
  <si>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</si>
  <si>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</si>
  <si>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</si>
  <si>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</si>
  <si>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</si>
  <si>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</si>
  <si>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</si>
  <si>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</si>
  <si>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</si>
  <si>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</si>
  <si>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</si>
  <si>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</si>
  <si>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</si>
  <si>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</si>
  <si>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</si>
  <si>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</si>
  <si>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</si>
  <si>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</si>
  <si>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</si>
  <si>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</si>
  <si>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</si>
  <si>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</si>
  <si>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</si>
  <si>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</si>
  <si>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</si>
  <si>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</si>
  <si>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</si>
  <si>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</si>
  <si>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</si>
  <si>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</si>
  <si>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</si>
  <si>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</si>
  <si>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</si>
  <si>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</si>
  <si>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</si>
  <si>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</si>
  <si>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</si>
  <si>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</si>
  <si>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</si>
  <si>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</si>
  <si>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</si>
  <si>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</si>
  <si>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</si>
  <si>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</si>
  <si>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</si>
  <si>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</si>
  <si>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</si>
  <si>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</si>
  <si>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</si>
  <si>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</si>
  <si>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</si>
  <si>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</si>
  <si>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</si>
  <si>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</si>
  <si>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</si>
  <si>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</si>
  <si>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</si>
  <si>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</si>
  <si>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</si>
  <si>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</si>
  <si>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</si>
  <si>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</si>
  <si>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</si>
  <si>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</si>
  <si>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</si>
  <si>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</si>
  <si>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</si>
  <si>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</si>
  <si>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</si>
  <si>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</si>
  <si>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</si>
  <si>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</si>
  <si>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</si>
  <si>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</si>
  <si>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</si>
  <si>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</si>
  <si>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</si>
  <si>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</si>
  <si>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</si>
  <si>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</si>
  <si>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</si>
  <si>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</si>
  <si>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</si>
  <si>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</si>
  <si>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</si>
  <si>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</si>
  <si>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</si>
  <si>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</si>
  <si>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</si>
  <si>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</si>
  <si>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</si>
  <si>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</si>
  <si>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</si>
  <si>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</si>
  <si>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</si>
  <si>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</si>
  <si>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</si>
  <si>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</si>
  <si>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</si>
  <si>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</si>
  <si>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</si>
  <si>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</si>
  <si>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</si>
  <si>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</si>
  <si>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</si>
  <si>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</si>
  <si>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</si>
  <si>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</si>
  <si>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</si>
  <si>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</si>
  <si>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</si>
  <si>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</si>
  <si>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</si>
  <si>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</si>
  <si>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</si>
  <si>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</si>
  <si>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</si>
  <si>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</si>
  <si>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</si>
  <si>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</si>
  <si>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</si>
  <si>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</si>
  <si>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</si>
  <si>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</si>
  <si>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</si>
  <si>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</si>
  <si>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</si>
  <si>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</si>
  <si>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</si>
  <si>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</si>
  <si>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</si>
  <si>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</si>
  <si>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</si>
  <si>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</si>
  <si>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</si>
  <si>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</si>
  <si>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</si>
  <si>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</si>
  <si>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</si>
  <si>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</si>
  <si>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</si>
  <si>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</si>
  <si>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</si>
  <si>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</si>
  <si>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</si>
  <si>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</si>
  <si>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</si>
  <si>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</si>
  <si>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</si>
  <si>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</si>
  <si>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</si>
  <si>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</si>
  <si>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</si>
  <si>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</si>
  <si>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</si>
  <si>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</si>
  <si>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</si>
  <si>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</si>
  <si>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</si>
  <si>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</si>
  <si>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</si>
  <si>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</si>
  <si>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</si>
  <si>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</si>
  <si>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</si>
  <si>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</si>
  <si>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</si>
  <si>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</si>
  <si>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</si>
  <si>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</si>
  <si>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</si>
  <si>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</si>
  <si>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</si>
  <si>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</si>
  <si>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</si>
  <si>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</si>
  <si>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</si>
  <si>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</si>
  <si>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</si>
  <si>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</si>
  <si>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</si>
  <si>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</si>
  <si>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</si>
  <si>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</si>
  <si>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</si>
  <si>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</si>
  <si>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</si>
  <si>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</si>
  <si>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</si>
  <si>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</si>
  <si>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</si>
  <si>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</si>
  <si>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</si>
  <si>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</si>
  <si>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</si>
  <si>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</si>
  <si>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</si>
  <si>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</si>
  <si>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</si>
  <si>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</si>
  <si>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</si>
  <si>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</si>
  <si>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</si>
  <si>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</si>
  <si>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</si>
  <si>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</si>
  <si>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</si>
  <si>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</si>
  <si>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</si>
  <si>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</si>
  <si>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</si>
  <si>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</si>
  <si>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</si>
  <si>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</si>
  <si>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</si>
  <si>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</si>
  <si>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</si>
  <si>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</si>
  <si>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</si>
  <si>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</si>
  <si>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</si>
  <si>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</si>
  <si>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</si>
  <si>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</si>
  <si>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</si>
  <si>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</si>
  <si>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</si>
  <si>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</si>
  <si>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</si>
  <si>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</si>
  <si>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</si>
  <si>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</si>
  <si>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</si>
  <si>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</si>
  <si>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</si>
  <si>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</si>
  <si>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</si>
  <si>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</si>
  <si>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</si>
  <si>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</si>
  <si>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</si>
  <si>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</si>
  <si>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</si>
  <si>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</si>
  <si>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</si>
  <si>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</si>
  <si>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</si>
  <si>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</si>
  <si>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</si>
  <si>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</si>
  <si>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</si>
  <si>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</si>
  <si>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</si>
  <si>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</si>
  <si>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</si>
  <si>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</si>
  <si>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</si>
  <si>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</si>
  <si>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</si>
  <si>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</si>
  <si>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</si>
  <si>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</si>
  <si>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</si>
  <si>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</si>
  <si>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</si>
  <si>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</si>
  <si>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</si>
  <si>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</si>
  <si>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</si>
  <si>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</si>
  <si>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</si>
  <si>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</si>
  <si>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</si>
  <si>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</si>
  <si>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</si>
  <si>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</si>
  <si>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</si>
  <si>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</si>
  <si>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</si>
  <si>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</si>
  <si>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</si>
  <si>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</si>
  <si>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</si>
  <si>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</si>
  <si>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</si>
  <si>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</si>
  <si>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</si>
  <si>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</si>
  <si>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</si>
  <si>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</si>
  <si>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</si>
  <si>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</si>
  <si>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</si>
  <si>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</si>
  <si>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</si>
  <si>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</si>
  <si>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</si>
  <si>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</si>
  <si>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</si>
  <si>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</si>
  <si>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</si>
  <si>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</si>
  <si>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</si>
  <si>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</si>
  <si>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</si>
  <si>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</si>
  <si>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</si>
  <si>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</si>
  <si>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</si>
  <si>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</si>
  <si>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</si>
  <si>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</si>
  <si>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</si>
  <si>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</si>
  <si>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</si>
  <si>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</si>
  <si>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</si>
  <si>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</si>
  <si>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</si>
  <si>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</si>
  <si>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</si>
  <si>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</si>
  <si>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</si>
  <si>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</si>
  <si>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</si>
  <si>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</si>
  <si>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</si>
  <si>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</si>
  <si>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</si>
  <si>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</si>
  <si>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</si>
  <si>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</si>
  <si>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</si>
  <si>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</si>
  <si>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</si>
  <si>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</si>
  <si>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</si>
  <si>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</si>
  <si>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</si>
  <si>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</si>
  <si>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</si>
  <si>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</si>
  <si>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</si>
  <si>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</si>
  <si>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</si>
  <si>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</si>
  <si>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</si>
  <si>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</si>
  <si>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</si>
  <si>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</si>
  <si>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</si>
  <si>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</si>
  <si>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</si>
  <si>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</si>
  <si>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</si>
  <si>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</si>
  <si>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</si>
  <si>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</si>
  <si>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</si>
  <si>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</si>
  <si>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</si>
  <si>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</si>
  <si>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</si>
  <si>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</si>
  <si>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</si>
  <si>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</si>
  <si>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</si>
  <si>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</si>
  <si>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</si>
  <si>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</si>
  <si>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</si>
  <si>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</si>
  <si>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</si>
  <si>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</si>
  <si>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</si>
  <si>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</si>
  <si>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</si>
  <si>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</si>
  <si>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</si>
  <si>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</si>
  <si>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</si>
  <si>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</si>
  <si>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</si>
  <si>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</si>
  <si>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</si>
  <si>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</si>
  <si>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</si>
  <si>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</si>
  <si>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</si>
  <si>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</si>
  <si>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</si>
  <si>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</si>
  <si>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</si>
  <si>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</si>
  <si>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</si>
  <si>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</si>
  <si>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</si>
  <si>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</si>
  <si>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</si>
  <si>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</si>
  <si>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</si>
  <si>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</si>
  <si>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</si>
  <si>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</si>
  <si>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</si>
  <si>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</si>
  <si>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</si>
  <si>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</si>
  <si>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</si>
  <si>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</si>
  <si>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</si>
  <si>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</si>
  <si>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</si>
  <si>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</si>
  <si>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</si>
  <si>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</si>
  <si>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</si>
  <si>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</si>
  <si>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</si>
  <si>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</si>
  <si>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</si>
  <si>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</si>
  <si>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</si>
  <si>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</si>
  <si>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</si>
  <si>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</si>
  <si>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</si>
  <si>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</si>
  <si>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</si>
  <si>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</si>
  <si>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</si>
  <si>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</si>
  <si>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</si>
  <si>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</si>
  <si>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</si>
  <si>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</si>
  <si>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</si>
  <si>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</si>
  <si>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</si>
  <si>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</si>
  <si>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</si>
  <si>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</si>
  <si>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</si>
  <si>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</si>
  <si>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</si>
  <si>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</si>
  <si>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</si>
  <si>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</si>
  <si>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</si>
  <si>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</si>
  <si>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</si>
  <si>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</si>
  <si>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</si>
  <si>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</si>
  <si>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</si>
  <si>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</si>
  <si>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</si>
  <si>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</si>
  <si>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</si>
  <si>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</si>
  <si>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</si>
  <si>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</si>
  <si>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</si>
  <si>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</si>
  <si>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</si>
  <si>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</si>
  <si>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</si>
  <si>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</si>
  <si>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</si>
  <si>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</si>
  <si>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</si>
  <si>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</si>
  <si>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</si>
  <si>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</si>
  <si>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</si>
  <si>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</si>
  <si>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</si>
  <si>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</si>
  <si>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</si>
  <si>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</si>
  <si>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</si>
  <si>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</si>
  <si>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</si>
  <si>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</si>
  <si>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</si>
  <si>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</si>
  <si>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</si>
  <si>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</si>
  <si>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</si>
  <si>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</si>
  <si>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</si>
  <si>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</si>
  <si>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</si>
  <si>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</si>
  <si>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</si>
  <si>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</si>
  <si>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</si>
  <si>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</si>
  <si>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</si>
  <si>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</si>
  <si>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</si>
  <si>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</si>
  <si>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</si>
  <si>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</si>
  <si>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</si>
  <si>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</si>
  <si>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</si>
  <si>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</si>
  <si>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</si>
  <si>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</si>
  <si>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</si>
  <si>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</si>
  <si>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</si>
  <si>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</si>
  <si>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</si>
  <si>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</si>
  <si>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</si>
  <si>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</si>
  <si>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</si>
  <si>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</si>
  <si>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</si>
  <si>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</si>
  <si>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</si>
  <si>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</si>
  <si>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</si>
  <si>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</si>
  <si>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</si>
  <si>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</si>
  <si>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</si>
  <si>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</si>
  <si>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</si>
  <si>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</si>
  <si>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</si>
  <si>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</si>
  <si>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</si>
  <si>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</si>
  <si>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</si>
  <si>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</si>
  <si>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</si>
  <si>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</si>
  <si>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</si>
  <si>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</si>
  <si>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</si>
  <si>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</si>
  <si>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</si>
  <si>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</si>
  <si>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</si>
  <si>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</si>
  <si>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</si>
  <si>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</si>
  <si>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</si>
  <si>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</si>
  <si>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</si>
  <si>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</si>
  <si>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</si>
  <si>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</si>
  <si>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</si>
  <si>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</si>
  <si>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</si>
  <si>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</si>
  <si>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</si>
  <si>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</si>
  <si>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</si>
  <si>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</si>
  <si>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</si>
  <si>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</si>
  <si>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</si>
  <si>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</si>
  <si>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</si>
  <si>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</si>
  <si>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</si>
  <si>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</si>
  <si>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</si>
  <si>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</si>
  <si>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</si>
  <si>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</si>
  <si>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</si>
  <si>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</si>
  <si>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</si>
  <si>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</si>
  <si>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</si>
  <si>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</si>
  <si>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</si>
  <si>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</si>
  <si>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</si>
  <si>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</si>
  <si>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</si>
  <si>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</si>
  <si>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</si>
  <si>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</si>
  <si>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</si>
  <si>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</si>
  <si>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</si>
  <si>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</si>
  <si>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</si>
  <si>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</si>
  <si>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</si>
  <si>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</si>
  <si>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</si>
  <si>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</si>
  <si>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</si>
  <si>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</si>
  <si>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</si>
  <si>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</si>
  <si>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</si>
  <si>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</si>
  <si>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</si>
  <si>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</si>
  <si>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</si>
  <si>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</si>
  <si>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</si>
  <si>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</si>
  <si>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</si>
  <si>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</si>
  <si>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</si>
  <si>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</si>
  <si>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</si>
  <si>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</si>
  <si>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</si>
  <si>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</si>
  <si>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</si>
  <si>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</si>
  <si>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</si>
  <si>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</si>
  <si>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</si>
  <si>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</si>
  <si>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</si>
  <si>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</si>
  <si>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</si>
  <si>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</si>
  <si>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</si>
  <si>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</si>
  <si>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</si>
  <si>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</si>
  <si>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</si>
  <si>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</si>
  <si>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</si>
  <si>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</si>
  <si>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</si>
  <si>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</si>
  <si>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</si>
  <si>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</si>
  <si>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</si>
  <si>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</si>
  <si>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</si>
  <si>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</si>
  <si>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</si>
  <si>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</si>
  <si>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</si>
  <si>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</si>
  <si>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</si>
  <si>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</si>
  <si>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</si>
  <si>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</si>
  <si>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</si>
  <si>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</si>
  <si>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</si>
  <si>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</si>
  <si>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</si>
  <si>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</si>
  <si>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</si>
  <si>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</si>
  <si>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</si>
  <si>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</si>
  <si>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</si>
  <si>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</si>
  <si>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</si>
  <si>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</si>
  <si>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</si>
  <si>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</si>
  <si>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</si>
  <si>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</si>
  <si>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</si>
  <si>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</si>
  <si>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</si>
  <si>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</si>
  <si>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</si>
  <si>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</si>
  <si>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</si>
  <si>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</si>
  <si>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</si>
  <si>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</si>
  <si>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</si>
  <si>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</si>
  <si>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</si>
  <si>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</si>
  <si>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</si>
  <si>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</si>
  <si>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</si>
  <si>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</si>
  <si>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</si>
  <si>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</si>
  <si>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</si>
  <si>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</si>
  <si>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</si>
  <si>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</si>
  <si>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</si>
  <si>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</si>
  <si>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</si>
  <si>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</si>
  <si>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</si>
  <si>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</si>
  <si>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</si>
  <si>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</si>
  <si>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</si>
  <si>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</si>
  <si>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</si>
  <si>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</si>
  <si>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</si>
  <si>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</si>
  <si>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</si>
  <si>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</si>
  <si>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</si>
  <si>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</si>
  <si>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</si>
  <si>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</si>
  <si>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</si>
  <si>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</si>
  <si>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</si>
  <si>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</si>
  <si>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</si>
  <si>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</si>
  <si>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</si>
  <si>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</si>
  <si>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</si>
  <si>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</si>
  <si>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</si>
  <si>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</si>
  <si>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</si>
  <si>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</si>
  <si>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</si>
  <si>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</si>
  <si>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</si>
  <si>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</si>
  <si>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</si>
  <si>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</si>
  <si>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</si>
  <si>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</si>
  <si>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</si>
  <si>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</si>
  <si>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</si>
  <si>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</si>
  <si>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</si>
  <si>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</si>
  <si>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</si>
  <si>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</si>
  <si>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</si>
  <si>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</si>
  <si>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</si>
  <si>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</si>
  <si>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</si>
  <si>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</si>
  <si>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</si>
  <si>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</si>
  <si>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</si>
  <si>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</si>
  <si>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</si>
  <si>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</si>
  <si>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</si>
  <si>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</si>
  <si>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</si>
  <si>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</si>
  <si>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</si>
  <si>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</si>
  <si>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</si>
  <si>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</si>
  <si>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</si>
  <si>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</si>
  <si>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</si>
  <si>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</si>
  <si>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</si>
  <si>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</si>
  <si>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</si>
  <si>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</si>
  <si>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</si>
  <si>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</si>
  <si>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</si>
  <si>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</si>
  <si>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</si>
  <si>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</si>
  <si>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</si>
  <si>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</si>
  <si>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</si>
  <si>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</si>
  <si>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</si>
  <si>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</si>
  <si>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</si>
  <si>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</si>
  <si>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</si>
  <si>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</si>
  <si>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</si>
  <si>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</si>
  <si>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</si>
  <si>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</si>
  <si>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</si>
  <si>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</si>
  <si>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</si>
  <si>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</si>
  <si>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</si>
  <si>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</si>
  <si>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</si>
  <si>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</si>
  <si>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</si>
  <si>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</si>
  <si>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</si>
  <si>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</si>
  <si>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</si>
  <si>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</si>
  <si>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</si>
  <si>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</si>
  <si>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</si>
  <si>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</si>
  <si>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</si>
  <si>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</si>
  <si>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</si>
  <si>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</si>
  <si>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</si>
  <si>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</si>
  <si>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</si>
  <si>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</si>
  <si>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</si>
  <si>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</si>
  <si>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</si>
  <si>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</si>
  <si>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</si>
  <si>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</si>
  <si>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</si>
  <si>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</si>
  <si>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</si>
  <si>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</si>
  <si>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</si>
  <si>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</si>
  <si>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</si>
  <si>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</si>
  <si>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</si>
  <si>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</si>
  <si>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</si>
  <si>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</si>
  <si>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</si>
  <si>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</si>
  <si>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</si>
  <si>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</si>
  <si>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</si>
  <si>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</si>
  <si>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</si>
  <si>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</si>
  <si>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</si>
  <si>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</si>
  <si>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</si>
  <si>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</si>
  <si>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</si>
  <si>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</si>
  <si>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</si>
  <si>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</si>
  <si>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</si>
  <si>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</si>
  <si>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</si>
  <si>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</si>
  <si>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</si>
  <si>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</si>
  <si>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</si>
  <si>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</si>
  <si>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</si>
  <si>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</si>
  <si>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</si>
  <si>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</si>
  <si>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</si>
  <si>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</si>
  <si>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</si>
  <si>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</si>
  <si>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</si>
  <si>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</si>
  <si>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</si>
  <si>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</si>
  <si>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</si>
  <si>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</si>
  <si>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</si>
  <si>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</si>
  <si>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</si>
  <si>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</si>
  <si>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</si>
  <si>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</si>
  <si>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</si>
  <si>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</si>
  <si>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</si>
  <si>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</si>
  <si>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</si>
  <si>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</si>
  <si>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</si>
  <si>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</si>
  <si>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</si>
  <si>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</si>
  <si>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</si>
  <si>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</si>
  <si>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</si>
  <si>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</si>
  <si>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</si>
  <si>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</si>
  <si>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</si>
  <si>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</si>
  <si>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</si>
  <si>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</si>
  <si>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</si>
  <si>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</si>
  <si>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</si>
  <si>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</si>
  <si>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</si>
  <si>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</si>
  <si>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</si>
  <si>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</si>
  <si>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</si>
  <si>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</si>
  <si>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</si>
  <si>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</si>
  <si>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</si>
  <si>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</si>
  <si>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</si>
  <si>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</si>
  <si>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</si>
  <si>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</si>
  <si>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</si>
  <si>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</si>
  <si>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</si>
  <si>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</si>
  <si>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</si>
  <si>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</si>
  <si>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</si>
  <si>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</si>
  <si>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</si>
  <si>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</si>
  <si>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</si>
  <si>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</si>
  <si>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</si>
  <si>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</si>
  <si>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</si>
  <si>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</si>
  <si>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</si>
  <si>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</si>
  <si>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</si>
  <si>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</si>
  <si>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</si>
  <si>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</si>
  <si>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</si>
  <si>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</si>
  <si>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</si>
  <si>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</si>
  <si>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</si>
  <si>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</si>
  <si>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</si>
  <si>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</si>
  <si>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</si>
  <si>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</si>
  <si>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</si>
  <si>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</si>
  <si>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</si>
  <si>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</si>
  <si>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</si>
  <si>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</si>
  <si>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</si>
  <si>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</si>
  <si>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</si>
  <si>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</si>
  <si>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</si>
  <si>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</si>
  <si>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</si>
  <si>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</si>
  <si>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</si>
  <si>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</si>
  <si>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</si>
  <si>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</si>
  <si>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</si>
  <si>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</si>
  <si>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</si>
  <si>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</si>
  <si>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</si>
  <si>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</si>
  <si>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</si>
  <si>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</si>
  <si>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</si>
  <si>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</si>
  <si>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</si>
  <si>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</si>
  <si>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</si>
  <si>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</si>
  <si>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</si>
  <si>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</si>
  <si>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</si>
  <si>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</si>
  <si>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</si>
  <si>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</si>
  <si>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</si>
  <si>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</si>
  <si>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</si>
  <si>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</si>
  <si>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</si>
  <si>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</si>
  <si>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</si>
  <si>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</si>
  <si>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</si>
  <si>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</si>
  <si>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</si>
  <si>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</si>
  <si>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</si>
  <si>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</si>
  <si>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</si>
  <si>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</si>
  <si>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</si>
  <si>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</si>
  <si>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</si>
  <si>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</si>
  <si>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</si>
  <si>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</si>
  <si>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</si>
  <si>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</si>
  <si>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</si>
  <si>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</si>
  <si>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</si>
  <si>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</si>
  <si>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</si>
  <si>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</si>
  <si>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</si>
  <si>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</si>
  <si>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</si>
  <si>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</si>
  <si>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</si>
  <si>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</si>
  <si>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</si>
  <si>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</si>
  <si>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</si>
  <si>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</si>
  <si>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</si>
  <si>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</si>
  <si>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</si>
  <si>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</si>
  <si>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</si>
  <si>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</si>
  <si>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</si>
  <si>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</si>
  <si>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</si>
  <si>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</si>
  <si>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</si>
  <si>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</si>
  <si>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</si>
  <si>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</si>
  <si>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</si>
  <si>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</si>
  <si>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</si>
  <si>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</si>
  <si>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</si>
  <si>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</si>
  <si>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</si>
  <si>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</si>
  <si>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</si>
  <si>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</si>
  <si>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</si>
  <si>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</si>
  <si>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</si>
  <si>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</si>
  <si>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</si>
  <si>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</si>
  <si>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</si>
  <si>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</si>
  <si>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</si>
  <si>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</si>
  <si>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</si>
  <si>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</si>
  <si>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</si>
  <si>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</si>
  <si>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</si>
  <si>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</si>
  <si>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</si>
  <si>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</si>
  <si>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</si>
  <si>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</si>
  <si>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</si>
  <si>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</si>
  <si>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</si>
  <si>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</si>
  <si>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</si>
  <si>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</si>
  <si>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</si>
  <si>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</si>
  <si>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</si>
  <si>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</si>
  <si>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</si>
  <si>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</si>
  <si>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</si>
  <si>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</si>
  <si>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</si>
  <si>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</si>
  <si>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</si>
  <si>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</si>
  <si>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</si>
  <si>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</si>
  <si>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</si>
  <si>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</si>
  <si>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</si>
  <si>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</si>
  <si>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</si>
  <si>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</si>
  <si>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</si>
  <si>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</si>
  <si>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</si>
  <si>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</si>
  <si>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</si>
  <si>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</si>
  <si>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</si>
  <si>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</si>
  <si>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</si>
  <si>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</si>
  <si>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</si>
  <si>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</si>
  <si>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</si>
  <si>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</si>
  <si>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</si>
  <si>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</si>
  <si>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</si>
  <si>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</si>
  <si>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</si>
  <si>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</si>
  <si>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</si>
  <si>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</si>
  <si>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</si>
  <si>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</si>
  <si>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</si>
  <si>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</si>
  <si>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</si>
  <si>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</si>
  <si>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</si>
  <si>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</si>
  <si>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</si>
  <si>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</si>
  <si>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</si>
  <si>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</si>
  <si>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</si>
  <si>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</si>
  <si>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</si>
  <si>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</si>
  <si>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</si>
  <si>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</si>
  <si>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</si>
  <si>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</si>
  <si>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</si>
  <si>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</si>
  <si>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</si>
  <si>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</si>
  <si>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</si>
  <si>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</si>
  <si>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</si>
  <si>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</si>
  <si>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</si>
  <si>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</si>
  <si>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</si>
  <si>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</si>
  <si>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</si>
  <si>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</si>
  <si>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</si>
  <si>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</si>
  <si>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</si>
  <si>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</si>
  <si>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</si>
  <si>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</si>
  <si>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</si>
  <si>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</si>
  <si>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</si>
  <si>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</si>
  <si>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</si>
  <si>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</si>
  <si>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</si>
  <si>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</si>
  <si>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</si>
  <si>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</si>
  <si>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</si>
  <si>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</si>
  <si>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</si>
  <si>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</si>
  <si>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</si>
  <si>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</si>
  <si>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</si>
  <si>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</si>
  <si>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</si>
  <si>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</si>
  <si>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</si>
  <si>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</si>
  <si>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</si>
  <si>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</si>
  <si>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</si>
  <si>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</si>
  <si>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</si>
  <si>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</si>
  <si>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</si>
  <si>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</si>
  <si>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</si>
  <si>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</si>
  <si>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</si>
  <si>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</si>
  <si>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</si>
  <si>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</si>
  <si>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</si>
  <si>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</si>
  <si>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</si>
  <si>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</si>
  <si>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</si>
  <si>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</si>
  <si>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</si>
  <si>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</si>
  <si>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</si>
  <si>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</si>
  <si>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</si>
  <si>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</si>
  <si>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</si>
  <si>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</si>
  <si>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</si>
  <si>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</si>
  <si>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</si>
  <si>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</si>
  <si>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</si>
  <si>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</si>
  <si>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</si>
  <si>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</si>
  <si>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</si>
  <si>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</si>
  <si>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</si>
  <si>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</si>
  <si>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</si>
  <si>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</si>
  <si>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</si>
  <si>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</si>
  <si>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</si>
  <si>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</si>
  <si>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</si>
  <si>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</si>
  <si>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</si>
  <si>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</si>
  <si>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</si>
  <si>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</si>
  <si>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</si>
  <si>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</si>
  <si>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</si>
  <si>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</si>
  <si>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</si>
  <si>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</si>
  <si>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</si>
  <si>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</si>
  <si>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</si>
  <si>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</si>
  <si>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</si>
  <si>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</si>
  <si>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</si>
  <si>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</si>
  <si>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</si>
  <si>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</si>
  <si>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</si>
  <si>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</si>
  <si>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</si>
  <si>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</si>
  <si>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</si>
  <si>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</si>
  <si>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</si>
  <si>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</si>
  <si>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</si>
  <si>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</si>
  <si>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</si>
  <si>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</si>
  <si>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</si>
  <si>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</si>
  <si>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</si>
  <si>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</si>
  <si>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</si>
  <si>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</si>
  <si>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</si>
  <si>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</si>
  <si>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</si>
  <si>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</si>
  <si>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</si>
  <si>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</si>
  <si>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</si>
  <si>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</si>
  <si>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</si>
  <si>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</si>
  <si>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</si>
  <si>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</si>
  <si>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</si>
  <si>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</si>
  <si>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</si>
  <si>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</si>
  <si>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</si>
  <si>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</si>
  <si>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</si>
  <si>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</si>
  <si>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</si>
  <si>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</si>
  <si>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</si>
  <si>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</si>
  <si>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</si>
  <si>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</si>
  <si>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</si>
  <si>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</si>
  <si>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</si>
  <si>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</si>
  <si>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</si>
  <si>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</si>
  <si>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</si>
  <si>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</si>
  <si>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</si>
  <si>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</si>
  <si>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</si>
  <si>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</si>
  <si>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</si>
  <si>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</si>
  <si>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</si>
  <si>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</si>
  <si>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</si>
  <si>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</si>
  <si>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</si>
  <si>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</si>
  <si>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</si>
  <si>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</si>
  <si>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</si>
  <si>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</si>
  <si>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</si>
  <si>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</si>
  <si>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</si>
  <si>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</si>
  <si>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</si>
  <si>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</si>
  <si>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</si>
  <si>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</si>
  <si>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</si>
  <si>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</si>
  <si>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</si>
  <si>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</si>
  <si>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</si>
  <si>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</si>
  <si>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</si>
  <si>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</si>
  <si>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</si>
  <si>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</si>
  <si>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</si>
  <si>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</si>
  <si>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</si>
  <si>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</si>
  <si>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</si>
  <si>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</si>
  <si>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</si>
  <si>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</si>
  <si>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</si>
  <si>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</si>
  <si>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</si>
  <si>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</si>
  <si>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</si>
  <si>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</si>
  <si>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</si>
  <si>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</si>
  <si>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</si>
  <si>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</si>
  <si>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</si>
  <si>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</si>
  <si>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</si>
  <si>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</si>
  <si>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</si>
  <si>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</si>
  <si>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</si>
  <si>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</si>
  <si>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</si>
  <si>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</si>
  <si>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</si>
  <si>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</si>
  <si>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</si>
  <si>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</si>
  <si>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</si>
  <si>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</si>
  <si>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</si>
  <si>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</si>
  <si>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</si>
  <si>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</si>
  <si>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</si>
  <si>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</si>
  <si>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</si>
  <si>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</si>
  <si>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</si>
  <si>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</si>
  <si>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</si>
  <si>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</si>
  <si>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</si>
  <si>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</si>
  <si>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</si>
  <si>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</si>
  <si>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</si>
  <si>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</si>
  <si>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</si>
  <si>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</si>
  <si>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</si>
  <si>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</si>
  <si>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</si>
  <si>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</si>
  <si>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</si>
  <si>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</si>
  <si>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</si>
  <si>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</si>
  <si>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</si>
  <si>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</si>
  <si>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</si>
  <si>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</si>
  <si>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</si>
  <si>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</si>
  <si>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</si>
  <si>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</si>
  <si>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</si>
  <si>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</si>
  <si>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</si>
  <si>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</si>
  <si>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</si>
  <si>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</si>
  <si>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</si>
  <si>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</si>
  <si>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</si>
  <si>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</si>
  <si>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</si>
  <si>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</si>
  <si>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</si>
  <si>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</si>
  <si>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</si>
  <si>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</si>
  <si>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</si>
  <si>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</si>
  <si>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</si>
  <si>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</si>
  <si>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</si>
  <si>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</si>
  <si>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</si>
  <si>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</si>
  <si>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</si>
  <si>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</si>
  <si>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</si>
  <si>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</si>
  <si>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</si>
  <si>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</si>
  <si>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</si>
  <si>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</si>
  <si>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</si>
  <si>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</si>
  <si>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</si>
  <si>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</si>
  <si>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</si>
  <si>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</si>
  <si>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</si>
  <si>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</si>
  <si>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</si>
  <si>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</si>
  <si>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</si>
  <si>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</si>
  <si>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</si>
  <si>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</si>
  <si>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</si>
  <si>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</si>
  <si>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</si>
  <si>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</si>
  <si>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</si>
  <si>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</si>
  <si>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</si>
  <si>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</si>
  <si>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</si>
  <si>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</si>
  <si>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</si>
  <si>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</si>
  <si>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</si>
  <si>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</si>
  <si>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</si>
  <si>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</si>
  <si>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</si>
  <si>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</si>
  <si>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</si>
  <si>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</si>
  <si>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</si>
  <si>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</si>
  <si>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</si>
  <si>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</si>
  <si>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</si>
  <si>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</si>
  <si>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</si>
  <si>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</si>
  <si>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</si>
  <si>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</si>
  <si>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</si>
  <si>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</si>
  <si>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</si>
  <si>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</si>
  <si>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</si>
  <si>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</si>
  <si>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</si>
  <si>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</si>
  <si>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</si>
  <si>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</si>
  <si>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</si>
  <si>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</si>
  <si>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</si>
  <si>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</si>
  <si>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</si>
  <si>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</si>
  <si>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</si>
  <si>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</si>
  <si>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</si>
  <si>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</si>
  <si>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</si>
  <si>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</si>
  <si>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</si>
  <si>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</si>
  <si>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</si>
  <si>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</si>
  <si>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</si>
  <si>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</si>
  <si>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</si>
  <si>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</si>
  <si>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</si>
  <si>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</si>
  <si>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</si>
  <si>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</si>
  <si>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</si>
  <si>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</si>
  <si>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</si>
  <si>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</si>
  <si>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</si>
  <si>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</si>
  <si>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</si>
  <si>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</si>
  <si>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</si>
  <si>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</si>
  <si>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</si>
  <si>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</si>
  <si>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</si>
  <si>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</si>
  <si>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</si>
  <si>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</si>
  <si>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</si>
  <si>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</si>
  <si>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</si>
  <si>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</si>
  <si>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</si>
  <si>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</si>
  <si>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</si>
  <si>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</si>
  <si>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</si>
  <si>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</si>
  <si>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</si>
  <si>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</si>
  <si>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</si>
  <si>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</si>
  <si>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</si>
  <si>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</si>
  <si>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</si>
  <si>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</si>
  <si>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</si>
  <si>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</si>
  <si>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</si>
  <si>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</si>
  <si>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</si>
  <si>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</si>
  <si>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</si>
  <si>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</si>
  <si>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</si>
  <si>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</si>
  <si>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</si>
  <si>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</si>
  <si>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</si>
  <si>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</si>
  <si>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</si>
  <si>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</si>
  <si>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</si>
  <si>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</si>
  <si>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</si>
  <si>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</si>
  <si>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</si>
  <si>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</si>
  <si>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</si>
  <si>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</si>
  <si>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</si>
  <si>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</si>
  <si>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</si>
  <si>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</si>
  <si>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</si>
  <si>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</si>
  <si>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</si>
  <si>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</si>
  <si>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</si>
  <si>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</si>
  <si>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</si>
  <si>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</si>
  <si>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</si>
  <si>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</si>
  <si>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</si>
  <si>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</si>
  <si>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</si>
  <si>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</si>
  <si>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</si>
  <si>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</si>
  <si>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</si>
  <si>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</si>
  <si>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</si>
  <si>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</si>
  <si>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</si>
  <si>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</si>
  <si>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</si>
  <si>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</si>
  <si>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</si>
  <si>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</si>
  <si>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</si>
  <si>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</si>
  <si>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</si>
  <si>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</si>
  <si>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</si>
  <si>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</si>
  <si>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</si>
  <si>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</si>
  <si>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</si>
  <si>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</si>
  <si>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</si>
  <si>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</si>
  <si>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</si>
  <si>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</si>
  <si>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</si>
  <si>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</si>
  <si>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</si>
  <si>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</si>
  <si>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</si>
  <si>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</si>
  <si>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</si>
  <si>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</si>
  <si>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</si>
  <si>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</si>
  <si>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</si>
  <si>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</si>
  <si>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</si>
  <si>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</si>
  <si>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</si>
  <si>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</si>
  <si>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</si>
  <si>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</si>
  <si>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</si>
  <si>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</si>
  <si>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</si>
  <si>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</si>
  <si>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</si>
  <si>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</si>
  <si>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</si>
  <si>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</si>
  <si>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</si>
  <si>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</si>
  <si>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</si>
  <si>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</si>
  <si>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</si>
  <si>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</si>
  <si>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</si>
  <si>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</si>
  <si>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</si>
  <si>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</si>
  <si>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</si>
  <si>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</si>
  <si>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</si>
  <si>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</si>
  <si>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</si>
  <si>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</si>
  <si>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</si>
  <si>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</si>
  <si>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</si>
  <si>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</si>
  <si>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</si>
  <si>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</si>
  <si>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</si>
  <si>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</si>
  <si>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</si>
  <si>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</si>
  <si>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</si>
  <si>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</si>
  <si>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</si>
  <si>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</si>
  <si>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</si>
  <si>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</si>
  <si>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</si>
  <si>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</si>
  <si>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</si>
  <si>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</si>
  <si>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</si>
  <si>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</si>
  <si>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</si>
  <si>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</si>
  <si>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</si>
  <si>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</si>
  <si>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</si>
  <si>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</si>
  <si>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</si>
  <si>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</si>
  <si>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</si>
  <si>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</si>
  <si>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</si>
  <si>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</si>
  <si>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</si>
  <si>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</si>
  <si>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</si>
  <si>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</si>
  <si>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</si>
  <si>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</si>
  <si>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</si>
  <si>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</si>
  <si>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</si>
  <si>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</si>
  <si>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</si>
  <si>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</si>
  <si>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</si>
  <si>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</si>
  <si>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</si>
  <si>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</si>
  <si>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</si>
  <si>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</si>
  <si>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</si>
  <si>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</si>
  <si>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</si>
  <si>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</si>
  <si>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</si>
  <si>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</si>
  <si>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</si>
  <si>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</si>
  <si>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</si>
  <si>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</si>
  <si>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</si>
  <si>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</si>
  <si>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</si>
  <si>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</si>
  <si>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</si>
  <si>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</si>
  <si>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</si>
  <si>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</si>
  <si>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</si>
  <si>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</si>
  <si>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</si>
  <si>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</si>
  <si>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</si>
  <si>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</si>
  <si>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</si>
  <si>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</si>
  <si>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</si>
  <si>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</si>
  <si>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</si>
  <si>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</si>
  <si>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</si>
  <si>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</si>
  <si>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</si>
  <si>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</si>
  <si>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</si>
  <si>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</si>
  <si>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</si>
  <si>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</si>
  <si>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</si>
  <si>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</si>
  <si>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</si>
  <si>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</si>
  <si>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</si>
  <si>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</si>
  <si>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</si>
  <si>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</si>
  <si>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</si>
  <si>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</si>
  <si>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</si>
  <si>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</si>
  <si>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</si>
  <si>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</si>
  <si>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</si>
  <si>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</si>
  <si>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</si>
  <si>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</si>
  <si>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</si>
  <si>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</si>
  <si>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</si>
  <si>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</si>
  <si>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</si>
  <si>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</si>
  <si>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</si>
  <si>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</si>
  <si>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</si>
  <si>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</si>
  <si>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</si>
  <si>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</si>
  <si>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</si>
  <si>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</si>
  <si>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</si>
  <si>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</si>
  <si>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</si>
  <si>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</si>
  <si>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</si>
  <si>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</si>
  <si>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</si>
  <si>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</si>
  <si>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</si>
  <si>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</si>
  <si>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</si>
  <si>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</si>
  <si>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</si>
  <si>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</si>
  <si>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</si>
  <si>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</si>
  <si>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</si>
  <si>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</si>
  <si>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</si>
  <si>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</si>
  <si>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</si>
  <si>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</si>
  <si>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</si>
  <si>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</si>
  <si>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</si>
  <si>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</si>
  <si>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</si>
  <si>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</si>
  <si>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</si>
  <si>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</si>
  <si>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</si>
  <si>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</si>
  <si>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</si>
  <si>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</si>
  <si>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</si>
  <si>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</si>
  <si>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</si>
  <si>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</si>
  <si>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</si>
  <si>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</si>
  <si>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</si>
  <si>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</si>
  <si>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</si>
  <si>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</si>
  <si>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</si>
  <si>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</si>
  <si>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</si>
  <si>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</si>
  <si>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</si>
  <si>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</si>
  <si>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</si>
  <si>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</si>
  <si>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</si>
  <si>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</si>
  <si>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</si>
  <si>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</si>
  <si>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</si>
  <si>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</si>
  <si>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</si>
  <si>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</si>
  <si>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</si>
  <si>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</si>
  <si>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</si>
  <si>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</si>
  <si>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</si>
  <si>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</si>
  <si>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</si>
  <si>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</si>
  <si>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</si>
  <si>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</si>
  <si>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</si>
  <si>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</si>
  <si>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</si>
  <si>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</si>
  <si>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</si>
  <si>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</si>
  <si>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</si>
  <si>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</si>
  <si>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</si>
  <si>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</si>
  <si>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</si>
  <si>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</si>
  <si>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</si>
  <si>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</si>
  <si>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</si>
  <si>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</si>
  <si>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</si>
  <si>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</si>
  <si>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</si>
  <si>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</si>
  <si>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</si>
  <si>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</si>
  <si>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</si>
  <si>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</si>
  <si>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</si>
  <si>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</si>
  <si>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</si>
  <si>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</si>
  <si>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</si>
  <si>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</si>
  <si>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</si>
  <si>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</si>
  <si>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</si>
  <si>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</si>
  <si>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</si>
  <si>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</si>
  <si>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</si>
  <si>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</si>
  <si>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</si>
  <si>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</si>
  <si>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</si>
  <si>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</si>
  <si>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</si>
  <si>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</si>
  <si>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</si>
  <si>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</si>
  <si>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</si>
  <si>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</si>
  <si>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</si>
  <si>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</si>
  <si>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</si>
  <si>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</si>
  <si>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</si>
  <si>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</si>
  <si>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</si>
  <si>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</si>
  <si>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</si>
  <si>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</si>
  <si>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</si>
  <si>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</si>
  <si>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</si>
  <si>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</si>
  <si>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</si>
  <si>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</si>
  <si>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</si>
  <si>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</si>
  <si>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</si>
  <si>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</si>
  <si>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</si>
  <si>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</si>
  <si>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</si>
  <si>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</si>
  <si>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</si>
  <si>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</si>
  <si>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</si>
  <si>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</si>
  <si>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</si>
  <si>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</si>
  <si>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</si>
  <si>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</si>
  <si>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</si>
  <si>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</si>
  <si>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</si>
  <si>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</si>
  <si>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</si>
  <si>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</si>
  <si>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</si>
  <si>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</si>
  <si>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</si>
  <si>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</si>
  <si>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</si>
  <si>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</si>
  <si>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</si>
  <si>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</si>
  <si>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</si>
  <si>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</si>
  <si>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</si>
  <si>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</si>
  <si>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</si>
  <si>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</si>
  <si>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</si>
  <si>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</si>
  <si>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</si>
  <si>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</si>
  <si>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</si>
  <si>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</si>
  <si>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</si>
  <si>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</si>
  <si>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</si>
  <si>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</si>
  <si>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</si>
  <si>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</si>
  <si>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</si>
  <si>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</si>
  <si>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</si>
  <si>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</si>
  <si>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</si>
  <si>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</si>
  <si>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</si>
  <si>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</si>
  <si>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</si>
  <si>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</si>
  <si>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</si>
  <si>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</si>
  <si>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</si>
  <si>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</si>
  <si>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</si>
  <si>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</si>
  <si>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</si>
  <si>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</si>
  <si>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</si>
  <si>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</si>
  <si>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</si>
  <si>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</si>
  <si>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</si>
  <si>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</si>
  <si>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</si>
  <si>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</si>
  <si>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</si>
  <si>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</si>
  <si>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</si>
  <si>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</si>
  <si>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</si>
  <si>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</si>
  <si>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</si>
  <si>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</si>
  <si>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</si>
  <si>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</si>
  <si>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</si>
  <si>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</si>
  <si>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</si>
  <si>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</si>
  <si>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</si>
  <si>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</si>
  <si>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</si>
  <si>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</si>
  <si>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</si>
  <si>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</si>
  <si>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</si>
  <si>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</si>
  <si>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</si>
  <si>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</si>
  <si>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</si>
  <si>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</si>
  <si>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</si>
  <si>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</si>
  <si>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</si>
  <si>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</si>
  <si>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</si>
  <si>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</si>
  <si>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</si>
  <si>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</si>
  <si>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</si>
  <si>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</si>
  <si>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</si>
  <si>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</si>
  <si>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</si>
  <si>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</si>
  <si>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</si>
  <si>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</si>
  <si>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</si>
  <si>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</si>
  <si>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</si>
  <si>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</si>
  <si>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</si>
  <si>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</si>
  <si>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</si>
  <si>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</si>
  <si>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</si>
  <si>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</si>
  <si>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</si>
  <si>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</si>
  <si>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</si>
  <si>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</si>
  <si>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</si>
  <si>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</si>
  <si>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</si>
  <si>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</si>
  <si>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</si>
  <si>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</si>
  <si>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</si>
  <si>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</si>
  <si>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</si>
  <si>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</si>
  <si>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</si>
  <si>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</si>
  <si>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</si>
  <si>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</si>
  <si>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</si>
  <si>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</si>
  <si>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</si>
  <si>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</si>
  <si>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</si>
  <si>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</si>
  <si>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</si>
  <si>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</si>
  <si>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</si>
  <si>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</si>
  <si>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</si>
  <si>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</si>
  <si>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</si>
  <si>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</si>
  <si>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</si>
  <si>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</si>
  <si>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</si>
  <si>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</si>
  <si>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</si>
  <si>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</si>
  <si>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</si>
  <si>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</si>
  <si>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</si>
  <si>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</si>
  <si>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</si>
  <si>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</si>
  <si>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</si>
  <si>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</si>
  <si>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</si>
  <si>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</si>
  <si>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</si>
  <si>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</si>
  <si>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</si>
  <si>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</si>
  <si>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</si>
  <si>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</si>
  <si>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</si>
  <si>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</si>
  <si>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</si>
  <si>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</si>
  <si>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</si>
  <si>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</si>
  <si>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</si>
  <si>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</si>
  <si>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</si>
  <si>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</si>
  <si>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</si>
  <si>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</si>
  <si>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</si>
  <si>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</si>
  <si>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</si>
  <si>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</si>
  <si>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</si>
  <si>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</si>
  <si>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</si>
  <si>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</si>
  <si>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</si>
  <si>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</si>
  <si>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</si>
  <si>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</si>
  <si>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</si>
  <si>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</si>
  <si>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</si>
  <si>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</si>
  <si>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</si>
  <si>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</si>
  <si>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</si>
  <si>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</si>
  <si>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</si>
  <si>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</si>
  <si>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</si>
  <si>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</si>
  <si>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</si>
  <si>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</si>
  <si>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</si>
  <si>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</si>
  <si>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</si>
  <si>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</si>
  <si>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</si>
  <si>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</si>
  <si>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</si>
  <si>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</si>
  <si>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</si>
  <si>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</si>
  <si>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</si>
  <si>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</si>
  <si>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</si>
  <si>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</si>
  <si>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</si>
  <si>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</si>
  <si>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</si>
  <si>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</si>
  <si>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</si>
  <si>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</si>
  <si>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</si>
  <si>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</si>
  <si>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</si>
  <si>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</si>
  <si>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</si>
  <si>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</si>
  <si>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</si>
  <si>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</si>
  <si>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</si>
  <si>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</si>
  <si>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</si>
  <si>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</si>
  <si>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</si>
  <si>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</si>
  <si>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</si>
  <si>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</si>
  <si>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</si>
  <si>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</si>
  <si>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</si>
  <si>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</si>
  <si>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</si>
  <si>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</si>
  <si>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</si>
  <si>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</si>
  <si>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</si>
  <si>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</si>
  <si>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</si>
  <si>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</si>
  <si>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</si>
  <si>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</si>
  <si>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</si>
  <si>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</si>
  <si>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</si>
  <si>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</si>
  <si>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</si>
  <si>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</si>
  <si>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</si>
  <si>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</si>
  <si>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</si>
  <si>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</si>
  <si>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</si>
  <si>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</si>
  <si>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</si>
  <si>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</si>
  <si>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</si>
  <si>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</si>
  <si>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</si>
  <si>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</si>
  <si>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</si>
  <si>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</si>
  <si>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</si>
  <si>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</si>
  <si>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</si>
  <si>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</si>
  <si>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</si>
  <si>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</si>
  <si>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</si>
  <si>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</si>
  <si>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</si>
  <si>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</si>
  <si>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</si>
  <si>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</si>
  <si>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</si>
  <si>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</si>
  <si>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</si>
  <si>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</si>
  <si>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</si>
  <si>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</si>
  <si>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</si>
  <si>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</si>
  <si>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</si>
  <si>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</si>
  <si>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</si>
  <si>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</si>
  <si>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</si>
  <si>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</si>
  <si>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</si>
  <si>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</si>
  <si>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</si>
  <si>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</si>
  <si>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</si>
  <si>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</si>
  <si>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</si>
  <si>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</si>
  <si>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</si>
  <si>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</si>
  <si>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</si>
  <si>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</si>
  <si>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</si>
  <si>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</si>
  <si>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</si>
  <si>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</si>
  <si>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</si>
  <si>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</si>
  <si>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</si>
  <si>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</si>
  <si>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</si>
  <si>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</si>
  <si>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</si>
  <si>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</si>
  <si>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</si>
  <si>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</si>
  <si>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</si>
  <si>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</si>
  <si>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</si>
  <si>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</si>
  <si>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</si>
  <si>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</si>
  <si>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</si>
  <si>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</si>
  <si>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</si>
  <si>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</si>
  <si>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</si>
  <si>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</si>
  <si>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</si>
  <si>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</si>
  <si>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</si>
  <si>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</si>
  <si>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</si>
  <si>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</si>
  <si>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</si>
  <si>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</si>
  <si>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</si>
  <si>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</si>
  <si>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</si>
  <si>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</si>
  <si>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</si>
  <si>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</si>
  <si>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</si>
  <si>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</si>
  <si>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</si>
  <si>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</si>
  <si>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</si>
  <si>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</si>
  <si>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</si>
  <si>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</si>
  <si>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</si>
  <si>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</si>
  <si>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</si>
  <si>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</si>
  <si>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</si>
  <si>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</si>
  <si>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</si>
  <si>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</si>
  <si>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</si>
  <si>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</si>
  <si>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</si>
  <si>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</si>
  <si>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</si>
  <si>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</si>
  <si>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</si>
  <si>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</si>
  <si>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</si>
  <si>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</si>
  <si>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</si>
  <si>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</si>
  <si>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</si>
  <si>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</si>
  <si>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</si>
  <si>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</si>
  <si>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</si>
  <si>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</si>
  <si>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</si>
  <si>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</si>
  <si>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</si>
  <si>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</si>
  <si>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</si>
  <si>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</si>
  <si>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</si>
  <si>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</si>
  <si>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</si>
  <si>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</si>
  <si>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</si>
  <si>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</si>
  <si>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</si>
  <si>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</si>
  <si>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</si>
  <si>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</si>
  <si>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</si>
  <si>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</si>
  <si>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</si>
  <si>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</si>
  <si>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</si>
  <si>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</si>
  <si>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</si>
  <si>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</si>
  <si>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</si>
  <si>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</si>
  <si>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</si>
  <si>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</si>
  <si>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</si>
  <si>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</si>
  <si>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</si>
  <si>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</si>
  <si>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</si>
  <si>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</si>
  <si>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</si>
  <si>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</si>
  <si>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</si>
  <si>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</si>
  <si>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</si>
  <si>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</si>
  <si>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</si>
  <si>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</si>
  <si>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</si>
  <si>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</si>
  <si>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</si>
  <si>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</si>
  <si>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</si>
  <si>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</si>
  <si>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</si>
  <si>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</si>
  <si>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</si>
  <si>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</si>
  <si>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</si>
  <si>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</si>
  <si>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</si>
  <si>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</si>
  <si>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</si>
  <si>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</si>
  <si>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</si>
  <si>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</si>
  <si>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</si>
  <si>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</si>
  <si>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</si>
  <si>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</si>
  <si>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</si>
  <si>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</si>
  <si>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</si>
  <si>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</si>
  <si>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</si>
  <si>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</si>
  <si>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</si>
  <si>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</si>
  <si>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</si>
  <si>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</si>
  <si>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</si>
  <si>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</si>
  <si>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</si>
  <si>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</si>
  <si>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</si>
  <si>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</si>
  <si>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</si>
  <si>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</si>
  <si>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</si>
  <si>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</si>
  <si>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</si>
  <si>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</si>
  <si>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</si>
  <si>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</si>
  <si>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</si>
  <si>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</si>
  <si>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</si>
  <si>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</si>
  <si>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</si>
  <si>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</si>
  <si>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</si>
  <si>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</si>
  <si>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</si>
  <si>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</si>
  <si>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</si>
  <si>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</si>
  <si>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</si>
  <si>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</si>
  <si>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</si>
  <si>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</si>
  <si>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</si>
  <si>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</si>
  <si>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</si>
  <si>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</si>
  <si>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</si>
  <si>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</si>
  <si>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</si>
  <si>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</si>
  <si>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</si>
  <si>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</si>
  <si>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</si>
  <si>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</si>
  <si>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</si>
  <si>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</si>
  <si>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</si>
  <si>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</si>
  <si>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</si>
  <si>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</si>
  <si>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</si>
  <si>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</si>
  <si>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</si>
  <si>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</si>
  <si>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</si>
  <si>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</si>
  <si>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</si>
  <si>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</si>
  <si>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</si>
  <si>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</si>
  <si>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</si>
  <si>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</si>
  <si>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</si>
  <si>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</si>
  <si>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</si>
  <si>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</si>
  <si>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</si>
  <si>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</si>
  <si>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</si>
  <si>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</si>
  <si>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</si>
  <si>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</si>
  <si>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</si>
  <si>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</si>
  <si>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</si>
  <si>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</si>
  <si>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</si>
  <si>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</si>
  <si>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</si>
  <si>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</si>
  <si>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</si>
  <si>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</si>
  <si>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</si>
  <si>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</si>
  <si>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</si>
  <si>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</si>
  <si>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</si>
  <si>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</si>
  <si>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</si>
  <si>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</si>
  <si>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</si>
  <si>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</si>
  <si>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</si>
  <si>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</si>
  <si>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</si>
  <si>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</si>
  <si>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</si>
  <si>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</si>
  <si>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</si>
  <si>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</si>
  <si>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</si>
  <si>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</si>
  <si>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</si>
  <si>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</si>
  <si>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</si>
  <si>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</si>
  <si>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</si>
  <si>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</si>
  <si>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</si>
  <si>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</si>
  <si>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</si>
  <si>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</si>
  <si>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</si>
  <si>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</si>
  <si>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</si>
  <si>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</si>
  <si>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</si>
  <si>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</si>
  <si>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</si>
  <si>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</si>
  <si>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</si>
  <si>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</si>
  <si>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</si>
  <si>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</si>
  <si>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</si>
  <si>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</si>
  <si>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</si>
  <si>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</si>
  <si>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</si>
  <si>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</si>
  <si>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</si>
  <si>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</si>
  <si>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</si>
  <si>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</si>
  <si>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</si>
  <si>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</si>
  <si>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</si>
  <si>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</si>
  <si>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</si>
  <si>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</si>
  <si>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</si>
  <si>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</si>
  <si>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</si>
  <si>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</si>
  <si>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</si>
  <si>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</si>
  <si>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</si>
  <si>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</si>
  <si>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</si>
  <si>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</si>
  <si>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</si>
  <si>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</si>
  <si>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</si>
  <si>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</si>
  <si>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</si>
  <si>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</si>
  <si>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</si>
  <si>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</si>
  <si>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</si>
  <si>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</si>
  <si>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</si>
  <si>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</si>
  <si>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</si>
  <si>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</si>
  <si>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</si>
  <si>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</si>
  <si>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</si>
  <si>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</si>
  <si>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</si>
  <si>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</si>
  <si>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</si>
  <si>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</si>
  <si>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</si>
  <si>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</si>
  <si>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</si>
  <si>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</si>
  <si>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</si>
  <si>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</si>
  <si>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</si>
  <si>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</si>
  <si>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</si>
  <si>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</si>
  <si>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</si>
  <si>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</si>
  <si>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</si>
  <si>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</si>
  <si>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</si>
  <si>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</si>
  <si>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</si>
  <si>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</si>
  <si>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</si>
  <si>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</si>
  <si>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</si>
  <si>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</si>
  <si>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</si>
  <si>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</si>
  <si>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</si>
  <si>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</si>
  <si>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</si>
  <si>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</si>
  <si>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</si>
  <si>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</si>
  <si>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</si>
  <si>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</si>
  <si>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</si>
  <si>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</si>
  <si>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</si>
  <si>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</si>
  <si>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</si>
  <si>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</si>
  <si>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</si>
  <si>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</si>
  <si>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</si>
  <si>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</si>
  <si>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</si>
  <si>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</si>
  <si>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</si>
  <si>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</si>
  <si>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</si>
  <si>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</si>
  <si>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</si>
  <si>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</si>
  <si>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</si>
  <si>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</si>
  <si>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</si>
  <si>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</si>
  <si>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</si>
  <si>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</si>
  <si>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</si>
  <si>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</si>
  <si>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</si>
  <si>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</si>
  <si>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</si>
  <si>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</si>
  <si>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</si>
  <si>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</si>
  <si>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</si>
  <si>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</si>
  <si>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</si>
  <si>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</si>
  <si>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</si>
  <si>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</si>
  <si>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</si>
  <si>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</si>
  <si>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</si>
  <si>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</si>
  <si>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</si>
  <si>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</si>
  <si>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</si>
  <si>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</si>
  <si>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</si>
  <si>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</si>
  <si>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</si>
  <si>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</si>
  <si>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</si>
  <si>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</si>
  <si>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</si>
  <si>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</si>
  <si>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</si>
  <si>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</si>
  <si>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</si>
  <si>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</si>
  <si>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</si>
  <si>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</si>
  <si>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</si>
  <si>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</si>
  <si>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</si>
  <si>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</si>
  <si>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</si>
  <si>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</si>
  <si>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</si>
  <si>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</si>
  <si>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</si>
  <si>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</si>
  <si>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</si>
  <si>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</si>
  <si>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</si>
  <si>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</si>
  <si>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</si>
  <si>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</si>
  <si>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</si>
  <si>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</si>
  <si>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</si>
  <si>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</si>
  <si>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</si>
  <si>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</si>
  <si>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</si>
  <si>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</si>
  <si>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</si>
  <si>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</si>
  <si>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</si>
  <si>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</si>
  <si>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</si>
  <si>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</si>
  <si>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</si>
  <si>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</si>
  <si>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</si>
  <si>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</si>
  <si>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</si>
  <si>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</si>
  <si>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</si>
  <si>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</si>
  <si>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</si>
  <si>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</si>
  <si>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</si>
  <si>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</si>
  <si>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</si>
  <si>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</si>
  <si>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</si>
  <si>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</si>
  <si>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</si>
  <si>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</si>
  <si>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</si>
  <si>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</si>
  <si>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</si>
  <si>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</si>
  <si>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</si>
  <si>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</si>
  <si>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</si>
  <si>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</si>
  <si>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</si>
  <si>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</si>
  <si>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</si>
  <si>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</si>
  <si>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</si>
  <si>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</si>
  <si>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</si>
  <si>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</si>
  <si>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</si>
  <si>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</si>
  <si>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</si>
  <si>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</si>
  <si>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</si>
  <si>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</si>
  <si>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</si>
  <si>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</si>
  <si>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</si>
  <si>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</si>
  <si>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</si>
  <si>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</si>
  <si>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</si>
  <si>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</si>
  <si>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</si>
  <si>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</si>
  <si>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</si>
  <si>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</si>
  <si>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</si>
  <si>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</si>
  <si>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</si>
  <si>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</si>
  <si>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</si>
  <si>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</si>
  <si>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</si>
  <si>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</si>
  <si>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</si>
  <si>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</si>
  <si>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</si>
  <si>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</si>
  <si>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</si>
  <si>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</si>
  <si>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</si>
  <si>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</si>
  <si>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</si>
  <si>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</si>
  <si>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</si>
  <si>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</si>
  <si>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</si>
  <si>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</si>
  <si>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</si>
  <si>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</si>
  <si>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</si>
  <si>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</si>
  <si>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</si>
  <si>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</si>
  <si>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</si>
  <si>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</si>
  <si>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</si>
  <si>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</si>
  <si>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</si>
  <si>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</si>
  <si>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</si>
  <si>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</si>
  <si>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</si>
  <si>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</si>
  <si>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</si>
  <si>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</si>
  <si>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</si>
  <si>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</si>
  <si>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</si>
  <si>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</si>
  <si>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</si>
  <si>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</si>
  <si>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</si>
  <si>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</si>
  <si>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</si>
  <si>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</si>
  <si>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</si>
  <si>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</si>
  <si>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</si>
  <si>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</si>
  <si>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</si>
  <si>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</si>
  <si>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</si>
  <si>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</si>
  <si>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</si>
  <si>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</si>
  <si>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</si>
  <si>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</si>
  <si>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</si>
  <si>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</si>
  <si>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</si>
  <si>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</si>
  <si>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</si>
  <si>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</si>
  <si>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</si>
  <si>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</si>
  <si>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</si>
  <si>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</si>
  <si>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</si>
  <si>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</si>
  <si>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</si>
  <si>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</si>
  <si>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</si>
  <si>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</si>
  <si>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</si>
  <si>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</si>
  <si>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</si>
  <si>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</si>
  <si>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</si>
  <si>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</si>
  <si>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</si>
  <si>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</si>
  <si>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</si>
  <si>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</si>
  <si>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</si>
  <si>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</si>
  <si>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</si>
  <si>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</si>
  <si>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</si>
  <si>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</si>
  <si>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</si>
  <si>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</si>
  <si>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</si>
  <si>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</si>
  <si>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</si>
  <si>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</si>
  <si>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</si>
  <si>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</si>
  <si>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</si>
  <si>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</si>
  <si>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</si>
  <si>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</si>
  <si>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</si>
  <si>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</si>
  <si>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</si>
  <si>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</si>
  <si>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</si>
  <si>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</si>
  <si>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</si>
  <si>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</si>
  <si>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</si>
  <si>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</si>
  <si>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</si>
  <si>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</si>
  <si>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</si>
  <si>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</si>
  <si>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</si>
  <si>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</si>
  <si>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</si>
  <si>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</si>
  <si>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</si>
  <si>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</si>
  <si>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</si>
  <si>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</si>
  <si>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</si>
  <si>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</si>
  <si>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</si>
  <si>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</si>
  <si>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</si>
  <si>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</si>
  <si>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</si>
  <si>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</si>
  <si>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</si>
  <si>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</si>
  <si>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</si>
  <si>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</si>
  <si>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</si>
  <si>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</si>
  <si>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</si>
  <si>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</si>
  <si>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</si>
  <si>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</si>
  <si>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</si>
  <si>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</si>
  <si>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</si>
  <si>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</si>
  <si>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</si>
  <si>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</si>
  <si>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</si>
  <si>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</si>
  <si>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</si>
  <si>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</si>
  <si>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</si>
  <si>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</si>
  <si>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</si>
  <si>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</si>
  <si>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</si>
  <si>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</si>
  <si>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</si>
  <si>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</si>
  <si>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</si>
  <si>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</si>
  <si>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</si>
  <si>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</si>
  <si>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</si>
  <si>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</si>
  <si>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</si>
  <si>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</si>
  <si>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</si>
  <si>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</si>
  <si>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</si>
  <si>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</si>
  <si>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</si>
  <si>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</si>
  <si>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</si>
  <si>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</si>
  <si>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</si>
  <si>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</si>
  <si>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</si>
  <si>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</si>
  <si>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</si>
  <si>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</si>
  <si>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</si>
  <si>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</si>
  <si>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</si>
  <si>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</si>
  <si>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</si>
  <si>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</si>
  <si>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</si>
  <si>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</si>
  <si>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</si>
  <si>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</si>
  <si>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</si>
  <si>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</si>
  <si>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</si>
  <si>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</si>
  <si>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</si>
  <si>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</si>
  <si>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</si>
  <si>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</si>
  <si>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</si>
  <si>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</si>
  <si>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</si>
  <si>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</si>
  <si>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</si>
  <si>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</si>
  <si>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</si>
  <si>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</si>
  <si>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</si>
  <si>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</si>
  <si>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</si>
  <si>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</si>
  <si>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</si>
  <si>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</si>
  <si>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</si>
  <si>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</si>
  <si>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</si>
  <si>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</si>
  <si>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</si>
  <si>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</si>
  <si>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</si>
  <si>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</si>
  <si>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</si>
  <si>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</si>
  <si>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</si>
  <si>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</si>
  <si>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</si>
  <si>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</si>
  <si>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</si>
  <si>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</si>
  <si>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</si>
  <si>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</si>
  <si>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</si>
  <si>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</si>
  <si>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</si>
  <si>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</si>
  <si>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</si>
  <si>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</si>
  <si>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</si>
  <si>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</si>
  <si>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</si>
  <si>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</si>
  <si>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</si>
  <si>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</si>
  <si>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</si>
  <si>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</si>
  <si>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</si>
  <si>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</si>
  <si>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</si>
  <si>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</si>
  <si>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</si>
  <si>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</si>
  <si>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</si>
  <si>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</si>
  <si>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</si>
  <si>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</si>
  <si>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</si>
  <si>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</si>
  <si>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</si>
  <si>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</si>
  <si>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</si>
  <si>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</si>
  <si>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</si>
  <si>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</si>
  <si>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</si>
  <si>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</si>
  <si>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</si>
  <si>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</si>
  <si>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</si>
  <si>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</si>
  <si>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</si>
  <si>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</si>
  <si>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</si>
  <si>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</si>
  <si>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</si>
  <si>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</si>
  <si>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</si>
  <si>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</si>
  <si>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</si>
  <si>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</si>
  <si>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</si>
  <si>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</si>
  <si>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</si>
  <si>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</si>
  <si>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</si>
  <si>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</si>
  <si>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</si>
  <si>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</si>
  <si>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</si>
  <si>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</si>
  <si>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</si>
  <si>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</si>
  <si>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</si>
  <si>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</si>
  <si>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</si>
  <si>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</si>
  <si>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</si>
  <si>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</si>
  <si>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</si>
  <si>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</si>
  <si>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</si>
  <si>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</si>
  <si>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</si>
  <si>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</si>
  <si>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</si>
  <si>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</si>
  <si>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</si>
  <si>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</si>
  <si>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</si>
  <si>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</si>
  <si>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</si>
  <si>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</si>
  <si>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</si>
  <si>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</si>
  <si>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</si>
  <si>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</si>
  <si>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</si>
  <si>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</si>
  <si>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</si>
  <si>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</si>
  <si>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</si>
  <si>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</si>
  <si>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</si>
  <si>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</si>
  <si>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</si>
  <si>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</si>
  <si>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</si>
  <si>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</si>
  <si>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</si>
  <si>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</si>
  <si>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</si>
  <si>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</si>
  <si>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</si>
  <si>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</si>
  <si>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</si>
  <si>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</si>
  <si>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</si>
  <si>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</si>
  <si>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</si>
  <si>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</si>
  <si>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</si>
  <si>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</si>
  <si>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</si>
  <si>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</si>
  <si>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</si>
  <si>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</si>
  <si>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</si>
  <si>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</si>
  <si>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</si>
  <si>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</si>
  <si>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</si>
  <si>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</si>
  <si>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</si>
  <si>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</si>
  <si>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</si>
  <si>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</si>
  <si>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</si>
  <si>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</si>
  <si>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</si>
  <si>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</si>
  <si>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</si>
  <si>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</si>
  <si>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</si>
  <si>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</si>
  <si>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</si>
  <si>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</si>
  <si>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</si>
  <si>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</si>
  <si>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</si>
  <si>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</si>
  <si>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</si>
  <si>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</si>
  <si>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</si>
  <si>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</si>
  <si>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</si>
  <si>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</si>
  <si>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</si>
  <si>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</si>
  <si>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</si>
  <si>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</si>
  <si>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</si>
  <si>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</si>
  <si>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</si>
  <si>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</si>
  <si>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</si>
  <si>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</si>
  <si>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</si>
  <si>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</si>
  <si>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</si>
  <si>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</si>
  <si>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</si>
  <si>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</si>
  <si>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</si>
  <si>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</si>
  <si>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</si>
  <si>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</si>
  <si>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</si>
  <si>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</si>
  <si>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</si>
  <si>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</si>
  <si>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</si>
  <si>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</si>
  <si>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</si>
  <si>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</si>
  <si>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</si>
  <si>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</si>
  <si>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</si>
  <si>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</si>
  <si>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</si>
  <si>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</si>
  <si>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</si>
  <si>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</si>
  <si>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</si>
  <si>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</si>
  <si>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</si>
  <si>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</si>
  <si>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</si>
  <si>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</si>
  <si>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</si>
  <si>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</si>
  <si>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</si>
  <si>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</si>
  <si>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</si>
  <si>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</si>
  <si>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</si>
  <si>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</si>
  <si>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</si>
  <si>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</si>
  <si>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</si>
  <si>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</si>
  <si>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</si>
  <si>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</si>
  <si>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</si>
  <si>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</si>
  <si>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</si>
  <si>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</si>
  <si>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</si>
  <si>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</si>
  <si>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</si>
  <si>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</si>
  <si>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</si>
  <si>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</si>
  <si>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</si>
  <si>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</si>
  <si>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</si>
  <si>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</si>
  <si>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</si>
  <si>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</si>
  <si>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</si>
  <si>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</si>
  <si>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</si>
  <si>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</si>
  <si>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</si>
  <si>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</si>
  <si>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</si>
  <si>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</si>
  <si>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</si>
  <si>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</si>
  <si>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</si>
  <si>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</si>
  <si>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</si>
  <si>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</si>
  <si>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</si>
  <si>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</si>
  <si>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</si>
  <si>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</si>
  <si>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</si>
  <si>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</si>
  <si>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</si>
  <si>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</si>
  <si>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</si>
  <si>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</si>
  <si>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</si>
  <si>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</si>
  <si>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</si>
  <si>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</si>
  <si>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</si>
  <si>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</si>
  <si>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</si>
  <si>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</si>
  <si>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</si>
  <si>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</si>
  <si>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</si>
  <si>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</si>
  <si>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</si>
  <si>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</si>
  <si>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</si>
  <si>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</si>
  <si>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</si>
  <si>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</si>
  <si>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</si>
  <si>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</si>
  <si>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</si>
  <si>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</si>
  <si>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</si>
  <si>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</si>
  <si>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</si>
  <si>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</si>
  <si>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</si>
  <si>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</si>
  <si>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</si>
  <si>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</si>
  <si>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</si>
  <si>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</si>
  <si>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</si>
  <si>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</si>
  <si>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</si>
  <si>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</si>
  <si>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</si>
  <si>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</si>
  <si>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</si>
  <si>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</si>
  <si>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</si>
  <si>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</si>
  <si>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</si>
  <si>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</si>
  <si>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</si>
  <si>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</si>
  <si>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</si>
  <si>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</si>
  <si>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</si>
  <si>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</si>
  <si>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</si>
  <si>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</si>
  <si>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</si>
  <si>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</si>
  <si>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</si>
  <si>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</si>
  <si>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</si>
  <si>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</si>
  <si>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</si>
  <si>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</si>
  <si>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</si>
  <si>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</si>
  <si>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</si>
  <si>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</si>
  <si>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</si>
  <si>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</si>
  <si>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</si>
  <si>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</si>
  <si>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</si>
  <si>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</si>
  <si>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</si>
  <si>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</si>
  <si>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</si>
  <si>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</si>
  <si>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</si>
  <si>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</si>
  <si>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</si>
  <si>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</si>
  <si>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</si>
  <si>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</si>
  <si>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</si>
  <si>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</si>
  <si>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</si>
  <si>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</si>
  <si>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</si>
  <si>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</si>
  <si>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</si>
  <si>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</si>
  <si>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</si>
  <si>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</si>
  <si>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</si>
  <si>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</si>
  <si>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</si>
  <si>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</si>
  <si>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</si>
  <si>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</si>
  <si>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</si>
  <si>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</si>
  <si>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</si>
  <si>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</si>
  <si>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</si>
  <si>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</si>
  <si>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</si>
  <si>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</si>
  <si>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</si>
  <si>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</si>
  <si>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</si>
  <si>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</si>
  <si>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</si>
  <si>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</si>
  <si>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</si>
  <si>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</si>
  <si>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</si>
  <si>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</si>
  <si>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</si>
  <si>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</si>
  <si>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</si>
  <si>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</si>
  <si>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</si>
  <si>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</si>
  <si>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</si>
  <si>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</si>
  <si>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</si>
  <si>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</si>
  <si>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</si>
  <si>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</si>
  <si>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</si>
  <si>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</si>
  <si>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</si>
  <si>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</si>
  <si>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</si>
  <si>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</si>
  <si>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</si>
  <si>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</si>
  <si>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</si>
  <si>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</si>
  <si>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</si>
  <si>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</si>
  <si>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</si>
  <si>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</si>
  <si>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</si>
  <si>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</si>
  <si>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</si>
  <si>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</si>
  <si>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</si>
  <si>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</si>
  <si>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</si>
  <si>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</si>
  <si>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</si>
  <si>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</si>
  <si>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</si>
  <si>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</si>
  <si>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</si>
  <si>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</si>
  <si>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</si>
  <si>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</si>
  <si>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</si>
  <si>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</si>
  <si>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</si>
  <si>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</si>
  <si>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</si>
  <si>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</si>
  <si>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</si>
  <si>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</si>
  <si>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</si>
  <si>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</si>
  <si>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</si>
  <si>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</si>
  <si>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</si>
  <si>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</si>
  <si>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</si>
  <si>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</si>
  <si>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</si>
  <si>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</si>
  <si>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</si>
  <si>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</si>
  <si>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</si>
  <si>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</si>
  <si>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</si>
  <si>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</si>
  <si>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</si>
  <si>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</si>
  <si>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</si>
  <si>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</si>
  <si>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</si>
  <si>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</si>
  <si>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</si>
  <si>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</si>
  <si>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</si>
  <si>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</si>
  <si>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</si>
  <si>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</si>
  <si>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</si>
  <si>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</si>
  <si>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</si>
  <si>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</si>
  <si>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</si>
  <si>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</si>
  <si>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</si>
  <si>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</si>
  <si>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</si>
  <si>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</si>
  <si>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</si>
  <si>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</si>
  <si>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</si>
  <si>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</si>
  <si>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</si>
  <si>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</si>
  <si>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</si>
  <si>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</si>
  <si>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</si>
  <si>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</si>
  <si>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</si>
  <si>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</si>
  <si>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</si>
  <si>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</si>
  <si>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</si>
  <si>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</si>
  <si>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</si>
  <si>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</si>
  <si>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</si>
  <si>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</si>
  <si>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</si>
  <si>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</si>
  <si>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</si>
  <si>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</si>
  <si>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</si>
  <si>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</si>
  <si>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</si>
  <si>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</si>
  <si>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</si>
  <si>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</si>
  <si>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</si>
  <si>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</si>
  <si>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</si>
  <si>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</si>
  <si>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</si>
  <si>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</si>
  <si>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</si>
  <si>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</si>
  <si>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</si>
  <si>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</si>
  <si>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</si>
  <si>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</si>
  <si>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</si>
  <si>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</si>
  <si>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</si>
  <si>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</si>
  <si>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</si>
  <si>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</si>
  <si>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</si>
  <si>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</si>
  <si>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</si>
  <si>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</si>
  <si>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</si>
  <si>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</si>
  <si>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</si>
  <si>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</si>
  <si>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</si>
  <si>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</si>
  <si>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</si>
  <si>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</si>
  <si>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</si>
  <si>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</si>
  <si>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</si>
  <si>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</si>
  <si>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</si>
  <si>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</si>
  <si>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</si>
  <si>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</si>
  <si>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</si>
  <si>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</si>
  <si>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</si>
  <si>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</si>
  <si>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</si>
  <si>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</si>
  <si>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</si>
  <si>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</si>
  <si>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</si>
  <si>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</si>
  <si>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</si>
  <si>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</si>
  <si>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</si>
  <si>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</si>
  <si>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</si>
  <si>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</si>
  <si>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</si>
  <si>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</si>
  <si>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</si>
  <si>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</si>
  <si>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</si>
  <si>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</si>
  <si>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</si>
  <si>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</si>
  <si>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</si>
  <si>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</si>
  <si>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</si>
  <si>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</si>
  <si>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</si>
  <si>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</si>
  <si>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</si>
  <si>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</si>
  <si>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</si>
  <si>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</si>
  <si>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</si>
  <si>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</si>
  <si>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</si>
  <si>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</si>
  <si>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</si>
  <si>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</si>
  <si>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</si>
  <si>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</si>
  <si>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</si>
  <si>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</si>
  <si>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</si>
  <si>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</si>
  <si>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</si>
  <si>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</si>
  <si>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</si>
  <si>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</si>
  <si>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</si>
  <si>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</si>
  <si>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</si>
  <si>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</si>
  <si>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</si>
  <si>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</si>
  <si>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</si>
  <si>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</si>
  <si>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</si>
  <si>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</si>
  <si>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</si>
  <si>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</si>
  <si>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</si>
  <si>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</si>
  <si>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</si>
  <si>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</si>
  <si>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</si>
  <si>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</si>
  <si>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</si>
  <si>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</si>
  <si>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</si>
  <si>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</si>
  <si>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</si>
  <si>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</si>
  <si>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</si>
  <si>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</si>
  <si>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</si>
  <si>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</si>
  <si>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</si>
  <si>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</si>
  <si>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</si>
  <si>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</si>
  <si>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</si>
  <si>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</si>
  <si>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</si>
  <si>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</si>
  <si>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</si>
  <si>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</si>
  <si>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</si>
  <si>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</si>
  <si>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</si>
  <si>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</si>
  <si>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</si>
  <si>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</si>
  <si>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</si>
  <si>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</si>
  <si>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</si>
  <si>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</si>
  <si>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</si>
  <si>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</si>
  <si>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</si>
  <si>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</si>
  <si>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</si>
  <si>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</si>
  <si>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</si>
  <si>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</si>
  <si>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</si>
  <si>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</si>
  <si>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</si>
  <si>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</si>
  <si>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</si>
  <si>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</si>
  <si>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</si>
  <si>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</si>
  <si>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</si>
  <si>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</si>
  <si>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</si>
  <si>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</si>
  <si>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</si>
  <si>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</si>
  <si>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</si>
  <si>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</si>
  <si>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</si>
  <si>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</si>
  <si>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</si>
  <si>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</si>
  <si>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</si>
  <si>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</si>
  <si>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</si>
  <si>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</si>
  <si>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</si>
  <si>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</si>
  <si>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</si>
  <si>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</si>
  <si>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</si>
  <si>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</si>
  <si>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</si>
  <si>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</si>
  <si>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</si>
  <si>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</si>
  <si>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</si>
  <si>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</si>
  <si>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</si>
  <si>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</si>
  <si>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</si>
  <si>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</si>
  <si>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</si>
  <si>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</si>
  <si>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</si>
  <si>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</si>
  <si>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</si>
  <si>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</si>
  <si>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</si>
  <si>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</si>
  <si>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</si>
  <si>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</si>
  <si>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</si>
  <si>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</si>
  <si>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</si>
  <si>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</si>
  <si>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</si>
  <si>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</si>
  <si>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</si>
  <si>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</si>
  <si>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</si>
  <si>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</si>
  <si>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</si>
  <si>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</si>
  <si>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</si>
  <si>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</si>
  <si>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</si>
  <si>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</si>
  <si>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</si>
  <si>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</si>
  <si>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</si>
  <si>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</si>
  <si>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</si>
  <si>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</si>
  <si>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</si>
  <si>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</si>
  <si>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</si>
  <si>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</si>
  <si>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</si>
  <si>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</si>
  <si>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</si>
  <si>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</si>
  <si>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</si>
  <si>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</si>
  <si>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</si>
  <si>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</si>
  <si>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</si>
  <si>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</si>
  <si>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</si>
  <si>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</si>
  <si>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</si>
  <si>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</si>
  <si>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</si>
  <si>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</si>
  <si>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</si>
  <si>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</si>
  <si>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</si>
  <si>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</si>
  <si>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</si>
  <si>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</si>
  <si>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</si>
  <si>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</si>
  <si>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</si>
  <si>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</si>
  <si>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</si>
  <si>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</si>
  <si>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</si>
  <si>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</si>
  <si>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</si>
  <si>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</si>
  <si>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</si>
  <si>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</si>
  <si>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</si>
  <si>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</si>
  <si>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</si>
  <si>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</si>
  <si>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</si>
  <si>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</si>
  <si>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</si>
  <si>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</si>
  <si>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</si>
  <si>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</si>
  <si>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</si>
  <si>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</si>
  <si>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</si>
  <si>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</si>
  <si>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</si>
  <si>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</si>
  <si>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</si>
  <si>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</si>
  <si>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</si>
  <si>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</si>
  <si>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</si>
  <si>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</si>
  <si>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</si>
  <si>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</si>
  <si>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</si>
  <si>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</si>
  <si>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</si>
  <si>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</si>
  <si>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</si>
  <si>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</si>
  <si>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</si>
  <si>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</si>
  <si>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</si>
  <si>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</si>
  <si>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</si>
  <si>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</si>
  <si>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</si>
  <si>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</si>
  <si>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</si>
  <si>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</si>
  <si>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</si>
  <si>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</si>
  <si>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</si>
  <si>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</si>
  <si>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</si>
  <si>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</si>
  <si>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</si>
  <si>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</si>
  <si>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</si>
  <si>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</si>
  <si>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</si>
  <si>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</si>
  <si>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</si>
  <si>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</si>
  <si>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</si>
  <si>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</si>
  <si>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</si>
  <si>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</si>
  <si>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</si>
  <si>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</si>
  <si>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</si>
  <si>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</si>
  <si>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</si>
  <si>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</si>
  <si>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</si>
  <si>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</si>
  <si>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</si>
  <si>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</si>
  <si>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</si>
  <si>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</si>
  <si>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</si>
  <si>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</si>
  <si>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</si>
  <si>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</si>
  <si>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</si>
  <si>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</si>
  <si>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</si>
  <si>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</si>
  <si>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</si>
  <si>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</si>
  <si>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</si>
  <si>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</si>
  <si>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</si>
  <si>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</si>
  <si>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</si>
  <si>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</si>
  <si>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</si>
  <si>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</si>
  <si>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</si>
  <si>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</si>
  <si>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</si>
  <si>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</si>
  <si>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</si>
  <si>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</si>
  <si>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</si>
  <si>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</si>
  <si>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</si>
  <si>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</si>
  <si>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</si>
  <si>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</si>
  <si>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</si>
  <si>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</si>
  <si>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</si>
  <si>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</si>
  <si>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</si>
  <si>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</si>
  <si>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</si>
  <si>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</si>
  <si>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</si>
  <si>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</si>
  <si>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</si>
  <si>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</si>
  <si>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</si>
  <si>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</si>
  <si>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</si>
  <si>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</si>
  <si>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</si>
  <si>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</si>
  <si>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</si>
  <si>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</si>
  <si>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</si>
  <si>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</si>
  <si>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</si>
  <si>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</si>
  <si>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</si>
  <si>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</si>
  <si>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</si>
  <si>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</si>
  <si>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</si>
  <si>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</si>
  <si>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</si>
  <si>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</si>
  <si>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</si>
  <si>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</si>
  <si>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</si>
  <si>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</si>
  <si>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</si>
  <si>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</si>
  <si>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</si>
  <si>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</si>
  <si>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</si>
  <si>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</si>
  <si>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</si>
  <si>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</si>
  <si>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</si>
  <si>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</si>
  <si>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</si>
  <si>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</si>
  <si>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</si>
  <si>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</si>
  <si>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</si>
  <si>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</si>
  <si>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</si>
  <si>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</si>
  <si>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</si>
  <si>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</si>
  <si>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</si>
  <si>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</si>
  <si>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</si>
  <si>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</si>
  <si>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</si>
  <si>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</si>
  <si>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</si>
  <si>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</si>
  <si>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</si>
  <si>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</si>
  <si>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</si>
  <si>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</si>
  <si>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</si>
  <si>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</si>
  <si>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</si>
  <si>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</si>
  <si>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</si>
  <si>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</si>
  <si>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</si>
  <si>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</si>
  <si>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</si>
  <si>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</si>
  <si>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</si>
  <si>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</si>
  <si>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</si>
  <si>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</si>
  <si>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</si>
  <si>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</si>
  <si>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</si>
  <si>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</si>
  <si>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</si>
  <si>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</si>
  <si>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</si>
  <si>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</si>
  <si>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</si>
  <si>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</si>
  <si>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</si>
  <si>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</si>
  <si>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</si>
  <si>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</si>
  <si>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</si>
  <si>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</si>
  <si>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</si>
  <si>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</si>
  <si>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</si>
  <si>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</si>
  <si>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</si>
  <si>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</si>
  <si>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</si>
  <si>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</si>
  <si>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</si>
  <si>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</si>
  <si>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</si>
  <si>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</si>
  <si>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</si>
  <si>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</si>
  <si>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</si>
  <si>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</si>
  <si>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</si>
  <si>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</si>
  <si>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</si>
  <si>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</si>
  <si>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</si>
  <si>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</si>
  <si>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</si>
  <si>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</si>
  <si>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</si>
  <si>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</si>
  <si>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</si>
  <si>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</si>
  <si>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</si>
  <si>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</si>
  <si>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</si>
  <si>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</si>
  <si>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</si>
  <si>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</si>
  <si>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</si>
  <si>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</si>
  <si>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</si>
  <si>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</si>
  <si>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</si>
  <si>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</si>
  <si>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</si>
  <si>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</si>
  <si>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</si>
  <si>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</si>
  <si>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</si>
  <si>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</si>
  <si>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</si>
  <si>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</si>
  <si>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</si>
  <si>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</si>
  <si>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</si>
  <si>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</si>
  <si>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</si>
  <si>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</si>
  <si>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</si>
  <si>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</si>
  <si>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</si>
  <si>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</si>
  <si>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</si>
  <si>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</si>
  <si>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</si>
  <si>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</si>
  <si>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</si>
  <si>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</si>
  <si>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</si>
  <si>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</si>
  <si>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</si>
  <si>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</si>
  <si>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</si>
  <si>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</si>
  <si>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</si>
  <si>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</si>
  <si>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</si>
  <si>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</si>
  <si>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</si>
  <si>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</si>
  <si>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</si>
  <si>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</si>
  <si>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</si>
  <si>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</si>
  <si>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</si>
  <si>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</si>
  <si>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</si>
  <si>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</si>
  <si>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</si>
  <si>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</si>
  <si>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</si>
  <si>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</si>
  <si>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</si>
  <si>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</si>
  <si>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</si>
  <si>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</si>
  <si>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</si>
  <si>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</si>
  <si>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</si>
  <si>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</si>
  <si>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</si>
  <si>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</si>
  <si>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</si>
  <si>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</si>
  <si>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</si>
  <si>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</si>
  <si>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</si>
  <si>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</si>
  <si>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</si>
  <si>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</si>
  <si>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</si>
  <si>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</si>
  <si>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</si>
  <si>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</si>
  <si>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</si>
  <si>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</si>
  <si>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</si>
  <si>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</si>
  <si>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</si>
  <si>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</si>
  <si>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</si>
  <si>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</si>
  <si>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</si>
  <si>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</si>
  <si>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</si>
  <si>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</si>
  <si>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</si>
  <si>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</si>
  <si>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</si>
  <si>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</si>
  <si>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</si>
  <si>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</si>
  <si>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</si>
  <si>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</si>
  <si>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</si>
  <si>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</si>
  <si>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</si>
  <si>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</si>
  <si>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</si>
  <si>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</si>
  <si>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</si>
  <si>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</si>
  <si>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</si>
  <si>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</si>
  <si>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</si>
  <si>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</si>
  <si>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</si>
  <si>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</si>
  <si>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</si>
  <si>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</si>
  <si>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</si>
  <si>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</si>
  <si>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</si>
  <si>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</si>
  <si>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</si>
  <si>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</si>
  <si>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</si>
  <si>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</si>
  <si>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</si>
  <si>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</si>
  <si>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</si>
  <si>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</si>
  <si>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</si>
  <si>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</si>
  <si>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</si>
  <si>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</si>
  <si>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</si>
  <si>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</si>
  <si>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</si>
  <si>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</si>
  <si>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</si>
  <si>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</si>
  <si>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</si>
  <si>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</si>
  <si>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</si>
  <si>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</si>
  <si>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</si>
  <si>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</si>
  <si>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</si>
  <si>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</si>
  <si>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</si>
  <si>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</si>
  <si>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</si>
  <si>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</si>
  <si>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</si>
  <si>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</si>
  <si>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</si>
  <si>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</si>
  <si>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</si>
  <si>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</si>
  <si>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</si>
  <si>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</si>
  <si>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</si>
  <si>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</si>
  <si>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</si>
  <si>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</si>
  <si>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</si>
  <si>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</si>
  <si>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</si>
  <si>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</si>
  <si>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</si>
  <si>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</si>
  <si>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</si>
  <si>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</si>
  <si>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</si>
  <si>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</si>
  <si>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</si>
  <si>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</si>
  <si>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</si>
  <si>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</si>
  <si>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</si>
  <si>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</si>
  <si>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</si>
  <si>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</si>
  <si>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</si>
  <si>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</si>
  <si>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</si>
  <si>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</si>
  <si>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</si>
  <si>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</si>
  <si>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</si>
  <si>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</si>
  <si>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</si>
  <si>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</si>
  <si>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</si>
  <si>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</si>
  <si>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</si>
  <si>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</si>
  <si>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</si>
  <si>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</si>
  <si>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</si>
  <si>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</si>
  <si>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</si>
  <si>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</si>
  <si>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</si>
  <si>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</si>
  <si>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</si>
  <si>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</si>
  <si>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</si>
  <si>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</si>
  <si>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</si>
  <si>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</si>
  <si>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</si>
  <si>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</si>
  <si>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</si>
  <si>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</si>
  <si>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</si>
  <si>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</si>
  <si>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</si>
  <si>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</si>
  <si>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</si>
  <si>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</si>
  <si>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</si>
  <si>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</si>
  <si>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</si>
  <si>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</si>
  <si>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</si>
  <si>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</si>
  <si>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</si>
  <si>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</si>
  <si>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</si>
  <si>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</si>
  <si>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</si>
  <si>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</si>
  <si>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</si>
  <si>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</si>
  <si>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</si>
  <si>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</si>
  <si>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</si>
  <si>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</si>
  <si>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</si>
  <si>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</si>
  <si>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</si>
  <si>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</si>
  <si>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</si>
  <si>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</si>
  <si>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</si>
  <si>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</si>
  <si>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</si>
  <si>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</si>
  <si>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</si>
  <si>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</si>
  <si>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</si>
  <si>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</si>
  <si>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</si>
  <si>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</si>
  <si>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</si>
  <si>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</si>
  <si>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</si>
  <si>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</si>
  <si>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</si>
  <si>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</si>
  <si>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</si>
  <si>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</si>
  <si>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</si>
  <si>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</si>
  <si>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</si>
  <si>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</si>
  <si>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</si>
  <si>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</si>
  <si>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</si>
  <si>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</si>
  <si>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</si>
  <si>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</si>
  <si>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</si>
  <si>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</si>
  <si>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</si>
  <si>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</si>
  <si>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</si>
  <si>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</si>
  <si>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</si>
  <si>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</si>
  <si>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</si>
  <si>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</si>
  <si>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</si>
  <si>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</si>
  <si>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</si>
  <si>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</si>
  <si>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</si>
  <si>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</si>
  <si>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</si>
  <si>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</si>
  <si>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</si>
  <si>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</si>
  <si>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</si>
  <si>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</si>
  <si>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</si>
  <si>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</si>
  <si>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</si>
  <si>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</si>
  <si>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</si>
  <si>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</si>
  <si>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</si>
  <si>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</si>
  <si>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</si>
  <si>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</si>
  <si>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</si>
  <si>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</si>
  <si>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</si>
  <si>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</si>
  <si>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</si>
  <si>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</si>
  <si>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</si>
  <si>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</si>
  <si>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</si>
  <si>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</si>
  <si>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</si>
  <si>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</si>
  <si>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</si>
  <si>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</si>
  <si>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</si>
  <si>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</si>
  <si>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</si>
  <si>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</si>
  <si>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</si>
  <si>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</si>
  <si>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</si>
  <si>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</si>
  <si>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</si>
  <si>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</si>
  <si>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</si>
  <si>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</si>
  <si>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</si>
  <si>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</si>
  <si>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</si>
  <si>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</si>
  <si>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</si>
  <si>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</si>
  <si>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</si>
  <si>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</si>
  <si>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</si>
  <si>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</si>
  <si>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</si>
  <si>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</si>
  <si>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</si>
  <si>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</si>
  <si>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</si>
  <si>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</si>
  <si>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</si>
  <si>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</si>
  <si>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</si>
  <si>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</si>
  <si>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</si>
  <si>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</si>
  <si>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</si>
  <si>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</si>
  <si>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</si>
  <si>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</si>
  <si>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</si>
  <si>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</si>
  <si>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</si>
  <si>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</si>
  <si>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</si>
  <si>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</si>
  <si>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</si>
  <si>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</si>
  <si>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</si>
  <si>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</si>
  <si>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</si>
  <si>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</si>
  <si>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</si>
  <si>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</si>
  <si>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</si>
  <si>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</si>
  <si>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</si>
  <si>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</si>
  <si>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</si>
  <si>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</si>
  <si>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</si>
  <si>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</si>
  <si>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</si>
  <si>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</si>
  <si>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</si>
  <si>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</si>
  <si>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</si>
  <si>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</si>
  <si>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</si>
  <si>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</si>
  <si>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</si>
  <si>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</si>
  <si>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</si>
  <si>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</si>
  <si>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</si>
  <si>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</si>
  <si>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</si>
  <si>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</si>
  <si>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</si>
  <si>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</si>
  <si>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</si>
  <si>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</si>
  <si>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</si>
  <si>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</si>
  <si>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</si>
  <si>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</si>
  <si>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</si>
  <si>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</si>
  <si>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</si>
  <si>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</si>
  <si>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</si>
  <si>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</si>
  <si>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</si>
  <si>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</si>
  <si>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</si>
  <si>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</si>
  <si>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</si>
  <si>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</si>
  <si>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</si>
  <si>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</si>
  <si>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</si>
  <si>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</si>
  <si>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</si>
  <si>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</si>
  <si>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</si>
  <si>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</si>
  <si>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</si>
  <si>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</si>
  <si>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</si>
  <si>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</si>
  <si>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</si>
  <si>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</si>
  <si>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</si>
  <si>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</si>
  <si>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</si>
  <si>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</si>
  <si>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</si>
  <si>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</si>
  <si>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</si>
  <si>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</si>
  <si>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</si>
  <si>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</si>
  <si>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</si>
  <si>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</si>
  <si>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</si>
  <si>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</si>
  <si>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</si>
  <si>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</si>
  <si>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</si>
  <si>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</si>
  <si>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</si>
  <si>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</si>
  <si>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</si>
  <si>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</si>
  <si>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</si>
  <si>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</si>
  <si>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</si>
  <si>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</si>
  <si>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</si>
  <si>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</si>
  <si>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</si>
  <si>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</si>
  <si>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</si>
  <si>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</si>
  <si>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</si>
  <si>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</si>
  <si>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</si>
  <si>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</si>
  <si>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</si>
  <si>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</si>
  <si>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</si>
  <si>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</si>
  <si>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</si>
  <si>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</si>
  <si>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</si>
  <si>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</si>
  <si>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</si>
  <si>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</si>
  <si>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</si>
  <si>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</si>
  <si>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</si>
  <si>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</si>
  <si>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</si>
  <si>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</si>
  <si>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</si>
  <si>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</si>
  <si>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</si>
  <si>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</si>
  <si>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</si>
  <si>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</si>
  <si>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</si>
  <si>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</si>
  <si>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</si>
  <si>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</si>
  <si>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</si>
  <si>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</si>
  <si>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</si>
  <si>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</si>
  <si>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</si>
  <si>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</si>
  <si>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</si>
  <si>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</si>
  <si>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</si>
  <si>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</si>
  <si>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</si>
  <si>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</si>
  <si>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</si>
  <si>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</si>
  <si>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</si>
  <si>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</si>
  <si>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</si>
  <si>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</si>
  <si>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</si>
  <si>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</si>
  <si>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</si>
  <si>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</si>
  <si>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</si>
  <si>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</si>
  <si>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</si>
  <si>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</si>
  <si>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</si>
  <si>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</si>
  <si>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</si>
  <si>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</si>
  <si>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</si>
  <si>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</si>
  <si>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</si>
  <si>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</si>
  <si>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</si>
  <si>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</si>
  <si>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</si>
  <si>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</si>
  <si>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</si>
  <si>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</si>
  <si>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</si>
  <si>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</si>
  <si>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</si>
  <si>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</si>
  <si>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</si>
  <si>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</si>
  <si>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</si>
  <si>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</si>
  <si>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</si>
  <si>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</si>
  <si>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</si>
  <si>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</si>
  <si>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</si>
  <si>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</si>
  <si>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</si>
  <si>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</si>
  <si>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</si>
  <si>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</si>
  <si>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</si>
  <si>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</si>
  <si>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</si>
  <si>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</si>
  <si>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</si>
  <si>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</si>
  <si>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</si>
  <si>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</si>
  <si>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</si>
  <si>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</si>
  <si>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</si>
  <si>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</si>
  <si>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</si>
  <si>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</si>
  <si>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</si>
  <si>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</si>
  <si>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</si>
  <si>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</si>
  <si>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</si>
  <si>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</si>
  <si>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</si>
  <si>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</si>
  <si>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</si>
  <si>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</si>
  <si>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</si>
  <si>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</si>
  <si>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</si>
  <si>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</si>
  <si>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</si>
  <si>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</si>
  <si>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</si>
  <si>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</si>
  <si>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</si>
  <si>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</si>
  <si>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</si>
  <si>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</si>
  <si>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</si>
  <si>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</si>
  <si>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</si>
  <si>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</si>
  <si>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</si>
  <si>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</si>
  <si>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</si>
  <si>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</si>
  <si>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</si>
  <si>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</si>
  <si>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</si>
  <si>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</si>
  <si>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</si>
  <si>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</si>
  <si>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</si>
  <si>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</si>
  <si>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</si>
  <si>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</si>
  <si>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</si>
  <si>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</si>
  <si>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</si>
  <si>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</si>
  <si>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</si>
  <si>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</si>
  <si>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</si>
  <si>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</si>
  <si>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</si>
  <si>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</si>
  <si>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</si>
  <si>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</si>
  <si>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</si>
  <si>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</si>
  <si>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</si>
  <si>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</si>
  <si>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</si>
  <si>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</si>
  <si>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</si>
  <si>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</si>
  <si>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</si>
  <si>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</si>
  <si>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</si>
  <si>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</si>
  <si>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</si>
  <si>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</si>
  <si>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</si>
  <si>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</si>
  <si>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</si>
  <si>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</si>
  <si>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</si>
  <si>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</si>
  <si>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</si>
  <si>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</si>
  <si>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</si>
  <si>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</si>
  <si>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</si>
  <si>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</si>
  <si>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</si>
  <si>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</si>
  <si>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</si>
  <si>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</si>
  <si>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</si>
  <si>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</si>
  <si>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</si>
  <si>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</si>
  <si>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</si>
  <si>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</si>
  <si>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</si>
  <si>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</si>
  <si>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</si>
  <si>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</si>
  <si>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</si>
  <si>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</si>
  <si>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</si>
  <si>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</si>
  <si>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</si>
  <si>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</si>
  <si>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</si>
  <si>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</si>
  <si>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</si>
  <si>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</si>
  <si>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</si>
  <si>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</si>
  <si>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</si>
  <si>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</si>
  <si>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</si>
  <si>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</si>
  <si>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</si>
  <si>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</si>
  <si>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</si>
  <si>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</si>
  <si>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</si>
  <si>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</si>
  <si>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</si>
  <si>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</si>
  <si>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</si>
  <si>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</si>
  <si>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</si>
  <si>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</si>
  <si>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</si>
  <si>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</si>
  <si>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</si>
  <si>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</si>
  <si>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</si>
  <si>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</si>
  <si>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</si>
  <si>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</si>
  <si>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</si>
  <si>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</si>
  <si>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</si>
  <si>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</si>
  <si>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</si>
  <si>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</si>
  <si>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</si>
  <si>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</si>
  <si>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</si>
  <si>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</si>
  <si>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</si>
  <si>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</si>
  <si>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</si>
  <si>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</si>
  <si>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</si>
  <si>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</si>
  <si>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</si>
  <si>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</si>
  <si>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</si>
  <si>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</si>
  <si>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</si>
  <si>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</si>
  <si>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</si>
  <si>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</si>
  <si>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</si>
  <si>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</si>
  <si>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</si>
  <si>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</si>
  <si>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</si>
  <si>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</si>
  <si>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</si>
  <si>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</si>
  <si>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</si>
  <si>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</si>
  <si>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</si>
  <si>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</si>
  <si>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</si>
  <si>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</si>
  <si>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</si>
  <si>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</si>
  <si>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</si>
  <si>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</si>
  <si>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</si>
  <si>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</si>
  <si>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</si>
  <si>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</si>
  <si>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</si>
  <si>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</si>
  <si>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</si>
  <si>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</si>
  <si>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</si>
  <si>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</si>
  <si>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</si>
  <si>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</si>
  <si>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</si>
  <si>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</si>
  <si>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</si>
  <si>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</si>
  <si>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</si>
  <si>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</si>
  <si>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</si>
  <si>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</si>
  <si>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</si>
  <si>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</si>
  <si>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</si>
  <si>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</si>
  <si>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</si>
  <si>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</si>
  <si>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</si>
  <si>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</si>
  <si>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</si>
  <si>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</si>
  <si>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</si>
  <si>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</si>
  <si>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</si>
  <si>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</si>
  <si>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</si>
  <si>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</si>
  <si>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</si>
  <si>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</si>
  <si>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</si>
  <si>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</si>
  <si>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</si>
  <si>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</si>
  <si>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</si>
  <si>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</si>
  <si>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</si>
  <si>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</si>
  <si>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</si>
  <si>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</si>
  <si>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</si>
  <si>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</si>
  <si>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</si>
  <si>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</si>
  <si>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</si>
  <si>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</si>
  <si>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</si>
  <si>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</si>
  <si>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</si>
  <si>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</si>
  <si>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</si>
  <si>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</si>
  <si>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</si>
  <si>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</si>
  <si>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</si>
  <si>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</si>
  <si>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</si>
  <si>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</si>
  <si>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</si>
  <si>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</si>
  <si>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</si>
  <si>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</si>
  <si>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</si>
  <si>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</si>
  <si>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</si>
  <si>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</si>
  <si>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</si>
  <si>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</si>
  <si>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</si>
  <si>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</si>
  <si>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</si>
  <si>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</si>
  <si>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</si>
  <si>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</si>
  <si>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</si>
  <si>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</si>
  <si>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</si>
  <si>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</si>
  <si>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</si>
  <si>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</si>
  <si>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</si>
  <si>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</si>
  <si>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</si>
  <si>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</si>
  <si>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</si>
  <si>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</si>
  <si>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</si>
  <si>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</si>
  <si>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</si>
  <si>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</si>
  <si>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</si>
  <si>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</si>
  <si>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</si>
  <si>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</si>
  <si>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</si>
  <si>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</si>
  <si>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</si>
  <si>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</si>
  <si>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</si>
  <si>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</si>
  <si>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</si>
  <si>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</si>
  <si>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</si>
  <si>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</si>
  <si>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</si>
  <si>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</si>
  <si>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</si>
  <si>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</si>
  <si>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</si>
  <si>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</si>
  <si>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</si>
  <si>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</si>
  <si>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</si>
  <si>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</si>
  <si>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</si>
  <si>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</si>
  <si>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</si>
  <si>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</si>
  <si>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</si>
  <si>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</si>
  <si>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</si>
  <si>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</si>
  <si>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</si>
  <si>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</si>
  <si>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</si>
  <si>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</si>
  <si>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</si>
  <si>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</si>
  <si>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</si>
  <si>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</si>
  <si>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</si>
  <si>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</si>
  <si>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</si>
  <si>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</si>
  <si>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</si>
  <si>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</si>
  <si>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</si>
  <si>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</si>
  <si>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</si>
  <si>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</si>
  <si>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</si>
  <si>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</si>
  <si>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</si>
  <si>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</si>
  <si>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</si>
  <si>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</si>
  <si>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</si>
  <si>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</si>
  <si>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</si>
  <si>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</si>
  <si>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</si>
  <si>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</si>
  <si>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</si>
  <si>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</si>
  <si>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</si>
  <si>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</si>
  <si>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</si>
  <si>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</si>
  <si>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</si>
  <si>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</si>
  <si>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</si>
  <si>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</si>
  <si>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</si>
  <si>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</si>
  <si>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</si>
  <si>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</si>
  <si>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</si>
  <si>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</si>
  <si>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</si>
  <si>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</si>
  <si>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</si>
  <si>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</si>
  <si>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</si>
  <si>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</si>
  <si>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</si>
  <si>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</si>
  <si>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</si>
  <si>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</si>
  <si>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</si>
  <si>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</si>
  <si>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</si>
  <si>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</si>
  <si>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</si>
  <si>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</si>
  <si>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</si>
  <si>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</si>
  <si>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</si>
  <si>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</si>
  <si>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</si>
  <si>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</si>
  <si>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</si>
  <si>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</si>
  <si>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</si>
  <si>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</si>
  <si>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</si>
  <si>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</si>
  <si>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</si>
  <si>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</si>
  <si>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</si>
  <si>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</si>
  <si>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</si>
  <si>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</si>
  <si>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</si>
  <si>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</si>
  <si>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</si>
  <si>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</si>
  <si>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</si>
  <si>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</si>
  <si>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</si>
  <si>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</si>
  <si>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</si>
  <si>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</si>
  <si>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</si>
  <si>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</si>
  <si>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</si>
  <si>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</si>
  <si>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</si>
  <si>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</si>
  <si>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</si>
  <si>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</si>
  <si>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</si>
  <si>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</si>
  <si>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</si>
  <si>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</si>
  <si>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</si>
  <si>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</si>
  <si>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</si>
  <si>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</si>
  <si>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</si>
  <si>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</si>
  <si>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</si>
  <si>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</si>
  <si>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</si>
  <si>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</si>
  <si>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</si>
  <si>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</si>
  <si>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</si>
  <si>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</si>
  <si>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</si>
  <si>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</si>
  <si>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</si>
  <si>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</si>
  <si>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</si>
  <si>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</si>
  <si>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</si>
  <si>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</si>
  <si>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</si>
  <si>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</si>
  <si>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</si>
  <si>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</si>
  <si>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</si>
  <si>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</si>
  <si>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</si>
  <si>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</si>
  <si>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</si>
  <si>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</si>
  <si>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</si>
  <si>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</si>
  <si>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</si>
  <si>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</si>
  <si>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</si>
  <si>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</si>
  <si>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</si>
  <si>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</si>
  <si>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</si>
  <si>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</si>
  <si>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</si>
  <si>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</si>
  <si>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</si>
  <si>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</si>
  <si>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</si>
  <si>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</si>
  <si>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</si>
  <si>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</si>
  <si>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</si>
  <si>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</si>
  <si>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</si>
  <si>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</si>
  <si>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</si>
  <si>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</si>
  <si>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</si>
  <si>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</si>
  <si>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</si>
  <si>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</si>
  <si>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</si>
  <si>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</si>
  <si>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</si>
  <si>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</si>
  <si>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</si>
  <si>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</si>
  <si>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</si>
  <si>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</si>
  <si>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</si>
  <si>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</si>
  <si>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</si>
  <si>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</si>
  <si>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</si>
  <si>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</si>
  <si>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</si>
  <si>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</si>
  <si>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</si>
  <si>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</si>
  <si>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</si>
  <si>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</si>
  <si>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</si>
  <si>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</si>
  <si>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</si>
  <si>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</si>
  <si>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</si>
  <si>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</si>
  <si>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</si>
  <si>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</si>
  <si>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</si>
  <si>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</si>
  <si>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</si>
  <si>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</si>
  <si>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</si>
  <si>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</si>
  <si>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</si>
  <si>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</si>
  <si>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</si>
  <si>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</si>
  <si>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</si>
  <si>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</si>
  <si>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</si>
  <si>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</si>
  <si>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</si>
  <si>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</si>
  <si>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</si>
  <si>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</si>
  <si>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</si>
  <si>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</si>
  <si>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</si>
  <si>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</si>
  <si>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</si>
  <si>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</si>
  <si>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</si>
  <si>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</si>
  <si>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</si>
  <si>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</si>
  <si>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</si>
  <si>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</si>
  <si>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</si>
  <si>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</si>
  <si>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</si>
  <si>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</si>
  <si>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</si>
  <si>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</si>
  <si>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</si>
  <si>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</si>
  <si>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</si>
  <si>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</si>
  <si>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</si>
  <si>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</si>
  <si>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</si>
  <si>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</si>
  <si>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</si>
  <si>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</si>
  <si>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</si>
  <si>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</si>
  <si>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</si>
  <si>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</si>
  <si>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</si>
  <si>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</si>
  <si>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</si>
  <si>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</si>
  <si>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</si>
  <si>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</si>
  <si>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</si>
  <si>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</si>
  <si>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</si>
  <si>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</si>
  <si>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</si>
  <si>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</si>
  <si>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</si>
  <si>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</si>
  <si>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</si>
  <si>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</si>
  <si>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</si>
  <si>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</si>
  <si>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</si>
  <si>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</si>
  <si>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</si>
  <si>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</si>
  <si>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</si>
  <si>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</si>
  <si>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</si>
  <si>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</si>
  <si>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</si>
  <si>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</si>
  <si>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</si>
  <si>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</si>
  <si>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</si>
  <si>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</si>
  <si>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</si>
  <si>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</si>
  <si>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</si>
  <si>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</si>
  <si>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</si>
  <si>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</si>
  <si>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</si>
  <si>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</si>
  <si>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</si>
  <si>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</si>
  <si>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</si>
  <si>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</si>
  <si>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</si>
  <si>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</si>
  <si>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</si>
  <si>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</si>
  <si>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</si>
  <si>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</si>
  <si>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</si>
  <si>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</si>
  <si>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</si>
  <si>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</si>
  <si>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</si>
  <si>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</si>
  <si>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</si>
  <si>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</si>
  <si>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</si>
  <si>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</si>
  <si>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</si>
  <si>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</si>
  <si>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</si>
  <si>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</si>
  <si>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</si>
  <si>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</si>
  <si>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</si>
  <si>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</si>
  <si>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</si>
  <si>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</si>
  <si>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</si>
  <si>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</si>
  <si>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</si>
  <si>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</si>
  <si>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</si>
  <si>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</si>
  <si>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</si>
  <si>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</si>
  <si>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</si>
  <si>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</si>
  <si>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</si>
  <si>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</si>
  <si>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</si>
  <si>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</si>
  <si>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</si>
  <si>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</si>
  <si>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</si>
  <si>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</si>
  <si>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</si>
  <si>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</si>
  <si>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</si>
  <si>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</si>
  <si>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</si>
  <si>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</si>
  <si>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</si>
  <si>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</si>
  <si>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</si>
  <si>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</si>
  <si>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</si>
  <si>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</si>
  <si>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</si>
  <si>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</si>
  <si>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</si>
  <si>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</si>
  <si>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</si>
  <si>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</si>
  <si>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</si>
  <si>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</si>
  <si>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</si>
  <si>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</si>
  <si>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</si>
  <si>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</si>
  <si>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</si>
  <si>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</si>
  <si>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</si>
  <si>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</si>
  <si>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</si>
  <si>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</si>
  <si>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</si>
  <si>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</si>
  <si>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</si>
  <si>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</si>
  <si>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</si>
  <si>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</si>
  <si>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</si>
  <si>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</si>
  <si>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</si>
  <si>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</si>
  <si>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</si>
  <si>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</si>
  <si>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</si>
  <si>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</si>
  <si>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</si>
  <si>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</si>
  <si>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</si>
  <si>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</si>
  <si>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</si>
  <si>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</si>
  <si>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</si>
  <si>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</si>
  <si>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</si>
  <si>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</si>
  <si>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</si>
  <si>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</si>
  <si>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</si>
  <si>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</si>
  <si>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</si>
  <si>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</si>
  <si>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</si>
  <si>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</si>
  <si>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</si>
  <si>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</si>
  <si>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</si>
  <si>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</si>
  <si>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</si>
  <si>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</si>
  <si>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</si>
  <si>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</si>
  <si>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</si>
  <si>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</si>
  <si>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</si>
  <si>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</si>
  <si>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</si>
  <si>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</si>
  <si>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</si>
  <si>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</si>
  <si>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</si>
  <si>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</si>
  <si>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</si>
  <si>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</si>
  <si>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</si>
  <si>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</si>
  <si>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</si>
  <si>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</si>
  <si>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</si>
  <si>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</si>
  <si>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</si>
  <si>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</si>
  <si>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</si>
  <si>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</si>
  <si>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</si>
  <si>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</si>
  <si>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</si>
  <si>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</si>
  <si>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</si>
  <si>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</si>
  <si>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</si>
  <si>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</si>
  <si>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</si>
  <si>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</si>
  <si>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</si>
  <si>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</si>
  <si>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</si>
  <si>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</si>
  <si>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</si>
  <si>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</si>
  <si>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</si>
  <si>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</si>
  <si>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</si>
  <si>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</si>
  <si>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</si>
  <si>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</si>
  <si>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</si>
  <si>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</si>
  <si>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</si>
  <si>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</si>
  <si>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</si>
  <si>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</si>
  <si>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</si>
  <si>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</si>
  <si>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</si>
  <si>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</si>
  <si>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</si>
  <si>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</si>
  <si>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</si>
  <si>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</si>
  <si>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</si>
  <si>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</si>
  <si>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</si>
  <si>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</si>
  <si>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</si>
  <si>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</si>
  <si>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</si>
  <si>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</si>
  <si>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</si>
  <si>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</si>
  <si>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</si>
  <si>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</si>
  <si>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</si>
  <si>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</si>
  <si>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</si>
  <si>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</si>
  <si>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</si>
  <si>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</si>
  <si>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</si>
  <si>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</si>
  <si>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</si>
  <si>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</si>
  <si>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</si>
  <si>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</si>
  <si>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</si>
  <si>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</si>
  <si>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</si>
  <si>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</si>
  <si>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</si>
  <si>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</si>
  <si>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</si>
  <si>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</si>
  <si>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</si>
  <si>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</si>
  <si>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</si>
  <si>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</si>
  <si>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</si>
  <si>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</si>
  <si>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</si>
  <si>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</si>
  <si>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</si>
  <si>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</si>
  <si>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</si>
  <si>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</si>
  <si>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</si>
  <si>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</si>
  <si>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</si>
  <si>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</si>
  <si>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</si>
  <si>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</si>
  <si>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</si>
  <si>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</si>
  <si>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</si>
  <si>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</si>
  <si>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</si>
  <si>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</si>
  <si>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</si>
  <si>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</si>
  <si>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</si>
  <si>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</si>
  <si>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</si>
  <si>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</si>
  <si>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</si>
  <si>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</si>
  <si>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</si>
  <si>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</si>
  <si>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</si>
  <si>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</si>
  <si>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</si>
  <si>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</si>
  <si>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</si>
  <si>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</si>
  <si>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</si>
  <si>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</si>
  <si>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</si>
  <si>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</si>
  <si>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</si>
  <si>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</si>
  <si>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</si>
  <si>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</si>
  <si>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</si>
  <si>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</si>
  <si>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</si>
  <si>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</si>
  <si>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</si>
  <si>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</si>
  <si>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</si>
  <si>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</si>
  <si>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</si>
  <si>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</si>
  <si>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</si>
  <si>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</si>
  <si>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</si>
  <si>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</si>
  <si>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</si>
  <si>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</si>
  <si>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</si>
  <si>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</si>
  <si>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</si>
  <si>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</si>
  <si>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</si>
  <si>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</si>
  <si>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</si>
  <si>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</si>
  <si>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</si>
  <si>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</si>
  <si>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</si>
  <si>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</si>
  <si>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</si>
  <si>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</si>
  <si>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</si>
  <si>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</si>
  <si>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</si>
  <si>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</si>
  <si>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</si>
  <si>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</si>
  <si>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</si>
  <si>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</si>
  <si>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</si>
  <si>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</si>
  <si>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</si>
  <si>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</si>
  <si>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</si>
  <si>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</si>
  <si>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</si>
  <si>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</si>
  <si>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</si>
  <si>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</si>
  <si>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</si>
  <si>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</si>
  <si>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</si>
  <si>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</si>
  <si>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</si>
  <si>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</si>
  <si>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</si>
  <si>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</si>
  <si>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</si>
  <si>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</si>
  <si>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</si>
  <si>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</si>
  <si>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</si>
  <si>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</si>
  <si>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</si>
  <si>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</si>
  <si>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</si>
  <si>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</si>
  <si>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</si>
  <si>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</si>
  <si>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</si>
  <si>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</si>
  <si>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</si>
  <si>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</si>
  <si>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</si>
  <si>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</si>
  <si>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</si>
  <si>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</si>
  <si>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</si>
  <si>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</si>
  <si>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</si>
  <si>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</si>
  <si>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</si>
  <si>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</si>
  <si>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</si>
  <si>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</si>
  <si>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</si>
  <si>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</si>
  <si>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</si>
  <si>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</si>
  <si>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</si>
  <si>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</si>
  <si>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</si>
  <si>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</si>
  <si>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</si>
  <si>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</si>
  <si>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</si>
  <si>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</si>
  <si>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</si>
  <si>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</si>
  <si>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</si>
  <si>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</si>
  <si>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</si>
  <si>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</si>
  <si>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</si>
  <si>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</si>
  <si>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</si>
  <si>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</si>
  <si>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</si>
  <si>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</si>
  <si>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</si>
  <si>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</si>
  <si>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</si>
  <si>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</si>
  <si>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</si>
  <si>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</si>
  <si>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</si>
  <si>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</si>
  <si>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</si>
  <si>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</si>
  <si>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</si>
  <si>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</si>
  <si>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</si>
  <si>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</si>
  <si>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</si>
  <si>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</si>
  <si>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</si>
  <si>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</si>
  <si>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</si>
  <si>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</si>
  <si>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</si>
  <si>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</si>
  <si>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</si>
  <si>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</si>
  <si>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</si>
  <si>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</si>
  <si>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</si>
  <si>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</si>
  <si>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</si>
  <si>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</si>
  <si>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</si>
  <si>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</si>
  <si>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</si>
  <si>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</si>
  <si>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</si>
  <si>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</si>
  <si>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</si>
  <si>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</si>
  <si>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</si>
  <si>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</si>
  <si>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</si>
  <si>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</si>
  <si>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</si>
  <si>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</si>
  <si>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</si>
  <si>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</si>
  <si>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</si>
  <si>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</si>
  <si>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</si>
  <si>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</si>
  <si>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</si>
  <si>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</si>
  <si>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</si>
  <si>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</si>
  <si>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</si>
  <si>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</si>
  <si>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</si>
  <si>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</si>
  <si>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</si>
  <si>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</si>
  <si>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</si>
  <si>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</si>
  <si>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</si>
  <si>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</si>
  <si>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</si>
  <si>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</si>
  <si>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</si>
  <si>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</si>
  <si>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</si>
  <si>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</si>
  <si>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</si>
  <si>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</si>
  <si>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</si>
  <si>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</si>
  <si>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</si>
  <si>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</si>
  <si>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</si>
  <si>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</si>
  <si>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</si>
  <si>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</si>
  <si>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</si>
  <si>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</si>
  <si>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</si>
  <si>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</si>
  <si>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</si>
  <si>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</si>
  <si>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</si>
  <si>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</si>
  <si>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</si>
  <si>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</si>
  <si>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</si>
  <si>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</si>
  <si>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</si>
  <si>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</si>
  <si>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</si>
  <si>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</si>
  <si>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</si>
  <si>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</si>
  <si>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</si>
  <si>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</si>
  <si>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</si>
  <si>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</si>
  <si>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</si>
  <si>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</si>
  <si>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</si>
  <si>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</si>
  <si>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</si>
  <si>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</si>
  <si>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</si>
  <si>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</si>
  <si>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</si>
  <si>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</si>
  <si>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</si>
  <si>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</si>
  <si>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</si>
  <si>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</si>
  <si>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</si>
  <si>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</si>
  <si>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</si>
  <si>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</si>
  <si>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</si>
  <si>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</si>
  <si>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</si>
  <si>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</si>
  <si>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</si>
  <si>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</si>
  <si>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</si>
  <si>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</si>
  <si>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</si>
  <si>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</si>
  <si>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</si>
  <si>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</si>
  <si>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</si>
  <si>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</si>
  <si>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</si>
  <si>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</si>
  <si>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</si>
  <si>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</si>
  <si>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</si>
  <si>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</si>
  <si>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</si>
  <si>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</si>
  <si>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</si>
  <si>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</si>
  <si>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</si>
  <si>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</si>
  <si>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</si>
  <si>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</si>
  <si>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</si>
  <si>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</si>
  <si>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</si>
  <si>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</si>
  <si>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</si>
  <si>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</si>
  <si>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</si>
  <si>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</si>
  <si>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</si>
  <si>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</si>
  <si>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</si>
  <si>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</si>
  <si>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</si>
  <si>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</si>
  <si>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</si>
  <si>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</si>
  <si>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</si>
  <si>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</si>
  <si>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</si>
  <si>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</si>
  <si>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</si>
  <si>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</si>
  <si>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</si>
  <si>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</si>
  <si>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</si>
  <si>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</si>
  <si>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</si>
  <si>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</si>
  <si>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</si>
  <si>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</si>
  <si>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</si>
  <si>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</si>
  <si>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</si>
  <si>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</si>
  <si>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</si>
  <si>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</si>
  <si>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</si>
  <si>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</si>
  <si>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</si>
  <si>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</si>
  <si>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</si>
  <si>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</si>
  <si>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</si>
  <si>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</si>
  <si>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</si>
  <si>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</si>
  <si>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</si>
  <si>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</si>
  <si>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</si>
  <si>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</si>
  <si>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</si>
  <si>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</si>
  <si>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</si>
  <si>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</si>
  <si>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</si>
  <si>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</si>
  <si>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</si>
  <si>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</si>
  <si>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</si>
  <si>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</si>
  <si>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</si>
  <si>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</si>
  <si>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</si>
  <si>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</si>
  <si>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</si>
  <si>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</si>
  <si>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</si>
  <si>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</si>
  <si>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</si>
  <si>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</si>
  <si>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</si>
  <si>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</si>
  <si>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</si>
  <si>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</si>
  <si>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</si>
  <si>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</si>
  <si>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</si>
  <si>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</si>
  <si>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</si>
  <si>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</si>
  <si>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</si>
  <si>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</si>
  <si>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</si>
  <si>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</si>
  <si>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</si>
  <si>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</si>
  <si>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</si>
  <si>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</si>
  <si>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</si>
  <si>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</si>
  <si>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</si>
  <si>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</si>
  <si>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</si>
  <si>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</si>
  <si>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</si>
  <si>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</si>
  <si>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</si>
  <si>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</si>
  <si>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</si>
  <si>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</si>
  <si>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</si>
  <si>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</si>
  <si>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</si>
  <si>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</si>
  <si>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</si>
  <si>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</si>
  <si>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</si>
  <si>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</si>
  <si>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</si>
  <si>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</si>
  <si>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</si>
  <si>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</si>
  <si>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</si>
  <si>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</si>
  <si>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</si>
  <si>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</si>
  <si>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</si>
  <si>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</si>
  <si>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</si>
  <si>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</si>
  <si>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</si>
  <si>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</si>
  <si>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</si>
  <si>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</si>
  <si>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</si>
  <si>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</si>
  <si>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</si>
  <si>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</si>
  <si>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</si>
  <si>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</si>
  <si>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</si>
  <si>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</si>
  <si>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</si>
  <si>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</si>
  <si>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</si>
  <si>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</si>
  <si>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</si>
  <si>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</si>
  <si>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</si>
  <si>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</si>
  <si>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</si>
  <si>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</si>
  <si>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</si>
  <si>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</si>
  <si>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</si>
  <si>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</si>
  <si>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</si>
  <si>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</si>
  <si>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</si>
  <si>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</si>
  <si>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</si>
  <si>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</si>
  <si>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</si>
  <si>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</si>
  <si>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</si>
  <si>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</si>
  <si>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</si>
  <si>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</si>
  <si>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</si>
  <si>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</si>
  <si>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</si>
  <si>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</si>
  <si>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</si>
  <si>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</si>
  <si>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</si>
  <si>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</si>
  <si>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</si>
  <si>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</si>
  <si>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</si>
  <si>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</si>
  <si>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</si>
  <si>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</si>
  <si>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</si>
  <si>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</si>
  <si>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</si>
  <si>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</si>
  <si>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</si>
  <si>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</si>
  <si>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</si>
  <si>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</si>
  <si>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</si>
  <si>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</si>
  <si>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</si>
  <si>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</si>
  <si>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</si>
  <si>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</si>
  <si>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</si>
  <si>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</si>
  <si>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</si>
  <si>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</si>
  <si>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</si>
  <si>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</si>
  <si>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</si>
  <si>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</si>
  <si>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</si>
  <si>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</si>
  <si>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</si>
  <si>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</si>
  <si>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</si>
  <si>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</si>
  <si>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</si>
  <si>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</si>
  <si>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</si>
  <si>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</si>
  <si>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</si>
  <si>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</si>
  <si>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</si>
  <si>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</si>
  <si>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</si>
  <si>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</si>
  <si>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</si>
  <si>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</si>
  <si>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</si>
  <si>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</si>
  <si>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</si>
  <si>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</si>
  <si>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</si>
  <si>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</si>
  <si>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</si>
  <si>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</si>
  <si>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</si>
  <si>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</si>
  <si>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</si>
  <si>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</si>
  <si>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</si>
  <si>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</si>
  <si>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</si>
  <si>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</si>
  <si>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</si>
  <si>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</si>
  <si>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</si>
  <si>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</si>
  <si>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</si>
  <si>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</si>
  <si>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</si>
  <si>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</si>
  <si>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</si>
  <si>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</si>
  <si>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</si>
  <si>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</si>
  <si>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</si>
  <si>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</si>
  <si>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</si>
  <si>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</si>
  <si>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</si>
  <si>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</si>
  <si>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</si>
  <si>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</si>
  <si>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</si>
  <si>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</si>
  <si>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</si>
  <si>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</si>
  <si>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</si>
  <si>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</si>
  <si>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</si>
  <si>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</si>
  <si>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</si>
  <si>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</si>
  <si>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</si>
  <si>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</si>
  <si>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</si>
  <si>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</si>
  <si>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</si>
  <si>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</si>
  <si>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</si>
  <si>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</si>
  <si>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</si>
  <si>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</si>
  <si>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</si>
  <si>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</si>
  <si>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</si>
  <si>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</si>
  <si>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</si>
  <si>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</si>
  <si>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</si>
  <si>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</si>
  <si>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</si>
  <si>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</si>
  <si>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</si>
  <si>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</si>
  <si>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</si>
  <si>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</si>
  <si>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</si>
  <si>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</si>
  <si>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</si>
  <si>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</si>
  <si>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</si>
  <si>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</si>
  <si>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</si>
  <si>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</si>
  <si>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</si>
  <si>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</si>
  <si>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</si>
  <si>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</si>
  <si>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</si>
  <si>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</si>
  <si>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</si>
  <si>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</si>
  <si>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</si>
  <si>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</si>
  <si>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</si>
  <si>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</si>
  <si>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</si>
  <si>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</si>
  <si>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</si>
  <si>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</si>
  <si>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</si>
  <si>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</si>
  <si>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</si>
  <si>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</si>
  <si>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</si>
  <si>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</si>
  <si>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</si>
  <si>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</si>
  <si>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</si>
  <si>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</si>
  <si>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</si>
  <si>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</si>
  <si>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</si>
  <si>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</si>
  <si>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</si>
  <si>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</si>
  <si>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</si>
  <si>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</si>
  <si>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</si>
  <si>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</si>
  <si>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</si>
  <si>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</si>
  <si>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</si>
  <si>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</si>
  <si>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</si>
  <si>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</si>
  <si>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</si>
  <si>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</si>
  <si>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</si>
  <si>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</si>
  <si>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</si>
  <si>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</si>
  <si>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</si>
  <si>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</si>
  <si>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</si>
  <si>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</si>
  <si>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</si>
  <si>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</si>
  <si>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</si>
  <si>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</si>
  <si>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</si>
  <si>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</si>
  <si>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</si>
  <si>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</si>
  <si>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</si>
  <si>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</si>
  <si>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</si>
  <si>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</si>
  <si>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</si>
  <si>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</si>
  <si>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</si>
  <si>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</si>
  <si>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</si>
  <si>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</si>
  <si>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</si>
  <si>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</si>
  <si>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</si>
  <si>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</si>
  <si>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</si>
  <si>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</si>
  <si>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</si>
  <si>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</si>
  <si>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</si>
  <si>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</si>
  <si>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</si>
  <si>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</si>
  <si>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</si>
  <si>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</si>
  <si>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</si>
  <si>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</si>
  <si>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</si>
  <si>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</si>
  <si>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</si>
  <si>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</si>
  <si>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</si>
  <si>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</si>
  <si>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</si>
  <si>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</si>
  <si>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</si>
  <si>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</si>
  <si>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</si>
  <si>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</si>
  <si>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</si>
  <si>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</si>
  <si>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</si>
  <si>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</si>
  <si>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</si>
  <si>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</si>
  <si>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</si>
  <si>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</si>
  <si>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</si>
  <si>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</si>
  <si>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</si>
  <si>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</si>
  <si>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</si>
  <si>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</si>
  <si>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</si>
  <si>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</si>
  <si>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</si>
  <si>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</si>
  <si>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</si>
  <si>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</si>
  <si>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</si>
  <si>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</si>
  <si>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</si>
  <si>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</si>
  <si>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</si>
  <si>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</si>
  <si>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</si>
  <si>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</si>
  <si>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</si>
  <si>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</si>
  <si>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</si>
  <si>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</si>
  <si>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</si>
  <si>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</si>
  <si>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</si>
  <si>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</si>
  <si>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</si>
  <si>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</si>
  <si>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</si>
  <si>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</si>
  <si>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</si>
  <si>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</si>
  <si>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</si>
  <si>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</si>
  <si>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</si>
  <si>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</si>
  <si>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</si>
  <si>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</si>
  <si>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</si>
  <si>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</si>
  <si>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</si>
  <si>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</si>
  <si>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</si>
  <si>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</si>
  <si>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</si>
  <si>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</si>
  <si>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</si>
  <si>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</si>
  <si>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</si>
  <si>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</si>
  <si>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</si>
  <si>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</si>
  <si>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</si>
  <si>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</si>
  <si>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</si>
  <si>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</si>
  <si>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</si>
  <si>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</si>
  <si>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</si>
  <si>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</si>
  <si>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</si>
  <si>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</si>
  <si>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</si>
  <si>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</si>
  <si>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</si>
  <si>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</si>
  <si>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</si>
  <si>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</si>
  <si>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</si>
  <si>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</si>
  <si>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</si>
  <si>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</si>
  <si>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</si>
  <si>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</si>
  <si>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</si>
  <si>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</si>
  <si>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</si>
  <si>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</si>
  <si>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</si>
  <si>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</si>
  <si>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</si>
  <si>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</si>
  <si>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</si>
  <si>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</si>
  <si>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</si>
  <si>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</si>
  <si>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</si>
  <si>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</si>
  <si>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</si>
  <si>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</si>
  <si>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</si>
  <si>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</si>
  <si>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</si>
  <si>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</si>
  <si>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</si>
  <si>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</si>
  <si>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</si>
  <si>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</si>
  <si>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</si>
  <si>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</si>
  <si>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</si>
  <si>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</si>
  <si>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</si>
  <si>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</si>
  <si>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</si>
  <si>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</si>
  <si>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</si>
  <si>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</si>
  <si>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</si>
  <si>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</si>
  <si>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</si>
  <si>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</si>
  <si>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</si>
  <si>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</si>
  <si>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</si>
  <si>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</si>
  <si>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</si>
  <si>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</si>
  <si>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</si>
  <si>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</si>
  <si>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</si>
  <si>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</si>
  <si>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</si>
  <si>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</si>
  <si>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</si>
  <si>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</si>
  <si>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</si>
  <si>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</si>
  <si>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</si>
  <si>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</si>
  <si>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</si>
  <si>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</si>
  <si>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</si>
  <si>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</si>
  <si>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</si>
  <si>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</si>
  <si>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</si>
  <si>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</si>
  <si>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</si>
  <si>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</si>
  <si>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</si>
  <si>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</si>
  <si>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</si>
  <si>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</si>
  <si>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</si>
  <si>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</si>
  <si>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</si>
  <si>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</si>
  <si>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</si>
  <si>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</si>
  <si>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</si>
  <si>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</si>
  <si>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</si>
  <si>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</si>
  <si>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</si>
  <si>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</si>
  <si>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</si>
  <si>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</si>
  <si>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</si>
  <si>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</si>
  <si>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</si>
  <si>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</si>
  <si>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</si>
  <si>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</si>
  <si>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</si>
  <si>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</si>
  <si>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</si>
  <si>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</si>
  <si>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</si>
  <si>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</si>
  <si>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</si>
  <si>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</si>
  <si>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</si>
  <si>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</si>
  <si>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</si>
  <si>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</si>
  <si>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</si>
  <si>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</si>
  <si>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</si>
  <si>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</si>
  <si>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</si>
  <si>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</si>
  <si>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</si>
  <si>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</si>
  <si>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</si>
  <si>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</si>
  <si>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</si>
  <si>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</si>
  <si>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</si>
  <si>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</si>
  <si>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</si>
  <si>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</si>
  <si>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</si>
  <si>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</si>
  <si>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</si>
  <si>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</si>
  <si>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</si>
  <si>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</si>
  <si>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</si>
  <si>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</si>
  <si>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</si>
  <si>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</si>
  <si>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</si>
  <si>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</si>
  <si>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</si>
  <si>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</si>
  <si>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</si>
  <si>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</si>
  <si>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</si>
  <si>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</si>
  <si>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</si>
  <si>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</si>
  <si>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</si>
  <si>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</si>
  <si>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</si>
  <si>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</si>
  <si>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</si>
  <si>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</si>
  <si>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</si>
  <si>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</si>
  <si>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</si>
  <si>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</si>
  <si>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</si>
  <si>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</si>
  <si>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</si>
  <si>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</si>
  <si>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</si>
  <si>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</si>
  <si>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</si>
  <si>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</si>
  <si>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</si>
  <si>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</si>
  <si>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</si>
  <si>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</si>
  <si>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</si>
  <si>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</si>
  <si>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</si>
  <si>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</si>
  <si>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</si>
  <si>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</si>
  <si>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</si>
  <si>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</si>
  <si>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</si>
  <si>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</si>
  <si>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</si>
  <si>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</si>
  <si>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</si>
  <si>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</si>
  <si>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</si>
  <si>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</si>
  <si>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</si>
  <si>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</si>
  <si>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</si>
  <si>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</si>
  <si>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</si>
  <si>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</si>
  <si>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</si>
  <si>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</si>
  <si>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</si>
  <si>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</si>
  <si>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</si>
  <si>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</si>
  <si>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</si>
  <si>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</si>
  <si>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</si>
  <si>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</si>
  <si>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</si>
  <si>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</si>
  <si>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</si>
  <si>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</si>
  <si>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</si>
  <si>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</si>
  <si>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</si>
  <si>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</si>
  <si>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</si>
  <si>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</si>
  <si>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</si>
  <si>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</si>
  <si>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</si>
  <si>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</si>
  <si>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</si>
  <si>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</si>
  <si>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</si>
  <si>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</si>
  <si>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</si>
  <si>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</si>
  <si>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</si>
  <si>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</si>
  <si>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</si>
  <si>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</si>
  <si>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</si>
  <si>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</si>
  <si>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</si>
  <si>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</si>
  <si>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</si>
  <si>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</si>
  <si>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</si>
  <si>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</si>
  <si>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</si>
  <si>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</si>
  <si>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</si>
  <si>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</si>
  <si>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</si>
  <si>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</si>
  <si>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</si>
  <si>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</si>
  <si>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</si>
  <si>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</si>
  <si>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</si>
  <si>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</si>
  <si>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</si>
  <si>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</si>
  <si>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</si>
  <si>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</si>
  <si>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</si>
  <si>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</si>
  <si>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</si>
  <si>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</si>
  <si>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</si>
  <si>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</si>
  <si>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</si>
  <si>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</si>
  <si>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</si>
  <si>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</si>
  <si>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</si>
  <si>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</si>
  <si>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</si>
  <si>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</si>
  <si>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</si>
  <si>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</si>
  <si>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</si>
  <si>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</si>
  <si>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</si>
  <si>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</si>
  <si>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</si>
  <si>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</si>
  <si>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</si>
  <si>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</si>
  <si>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</si>
  <si>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</si>
  <si>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</si>
  <si>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</si>
  <si>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</si>
  <si>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</si>
  <si>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</si>
  <si>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</si>
  <si>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</si>
  <si>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</si>
  <si>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</si>
  <si>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</si>
  <si>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</si>
  <si>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</si>
  <si>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</si>
  <si>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</si>
  <si>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</si>
  <si>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</si>
  <si>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</si>
  <si>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</si>
  <si>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</si>
  <si>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</si>
  <si>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</si>
  <si>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</si>
  <si>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</si>
  <si>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</si>
  <si>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</si>
  <si>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</si>
  <si>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</si>
  <si>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</si>
  <si>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</si>
  <si>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</si>
  <si>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</si>
  <si>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</si>
  <si>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</si>
  <si>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</si>
  <si>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</si>
  <si>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</si>
  <si>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</si>
  <si>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</si>
  <si>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</si>
  <si>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</si>
  <si>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</si>
  <si>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</si>
  <si>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</si>
  <si>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</si>
  <si>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</si>
  <si>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</si>
  <si>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</si>
  <si>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</si>
  <si>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</si>
  <si>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</si>
  <si>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</si>
  <si>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</si>
  <si>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</si>
  <si>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</si>
  <si>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</si>
  <si>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</si>
  <si>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</si>
  <si>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</si>
  <si>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</si>
  <si>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</si>
  <si>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</si>
  <si>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</si>
  <si>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</si>
  <si>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</si>
  <si>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</si>
  <si>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</si>
  <si>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</si>
  <si>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</si>
  <si>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</si>
  <si>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</si>
  <si>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</si>
  <si>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</si>
  <si>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</si>
  <si>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</si>
  <si>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</si>
  <si>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</si>
  <si>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</si>
  <si>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</si>
  <si>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</si>
  <si>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</si>
  <si>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</si>
  <si>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</si>
  <si>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</si>
  <si>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</si>
  <si>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</si>
  <si>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</si>
  <si>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</si>
  <si>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</si>
  <si>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</si>
  <si>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</si>
  <si>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</si>
  <si>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</si>
  <si>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</si>
  <si>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</si>
  <si>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</si>
  <si>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</si>
  <si>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</si>
  <si>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</si>
  <si>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</si>
  <si>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</si>
  <si>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</si>
  <si>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</si>
  <si>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</si>
  <si>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</si>
  <si>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</si>
  <si>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</si>
  <si>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</si>
  <si>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</si>
  <si>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</si>
  <si>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</si>
  <si>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</si>
  <si>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</si>
  <si>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</si>
  <si>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</si>
  <si>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</si>
  <si>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</si>
  <si>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</si>
  <si>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</si>
  <si>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</si>
  <si>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</si>
  <si>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</si>
  <si>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</si>
  <si>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</si>
  <si>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</si>
  <si>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</si>
  <si>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</si>
  <si>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</si>
  <si>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</si>
  <si>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</si>
  <si>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</si>
  <si>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</si>
  <si>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</si>
  <si>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</si>
  <si>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</si>
  <si>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</si>
  <si>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</si>
  <si>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</si>
  <si>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</si>
  <si>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</si>
  <si>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</si>
  <si>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</si>
  <si>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</si>
  <si>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</si>
  <si>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</si>
  <si>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</si>
  <si>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</si>
  <si>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</si>
  <si>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</si>
  <si>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</si>
  <si>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</si>
  <si>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</si>
  <si>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</si>
  <si>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</si>
  <si>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</si>
  <si>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</si>
  <si>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</si>
  <si>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</si>
  <si>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</si>
  <si>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</si>
  <si>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</si>
  <si>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</si>
  <si>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</si>
  <si>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</si>
  <si>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</si>
  <si>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</si>
  <si>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</si>
  <si>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</si>
  <si>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</si>
  <si>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</si>
  <si>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</si>
  <si>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</si>
  <si>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</si>
  <si>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</si>
  <si>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</si>
  <si>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</si>
  <si>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</si>
  <si>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</si>
  <si>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</si>
  <si>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</si>
  <si>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</si>
  <si>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</si>
  <si>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</si>
  <si>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</si>
  <si>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</si>
  <si>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</si>
  <si>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</si>
  <si>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</si>
  <si>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</si>
  <si>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</si>
  <si>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</si>
  <si>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</si>
  <si>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</si>
  <si>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</si>
  <si>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</si>
  <si>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</si>
  <si>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</si>
  <si>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</si>
  <si>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</si>
  <si>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</si>
  <si>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</si>
  <si>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</si>
  <si>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</si>
  <si>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</si>
  <si>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</si>
  <si>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</si>
  <si>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</si>
  <si>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</si>
  <si>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</si>
  <si>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</si>
  <si>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</si>
  <si>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</si>
  <si>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</si>
  <si>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</si>
  <si>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</si>
  <si>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</si>
  <si>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</si>
  <si>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</si>
  <si>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</si>
  <si>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</si>
  <si>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</si>
  <si>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</si>
  <si>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</si>
  <si>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</si>
  <si>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</si>
  <si>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</si>
  <si>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</si>
  <si>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</si>
  <si>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</si>
  <si>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</si>
  <si>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</si>
  <si>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</si>
  <si>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</si>
  <si>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</si>
  <si>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</si>
  <si>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</si>
  <si>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</si>
  <si>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</si>
  <si>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</si>
  <si>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</si>
  <si>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</si>
  <si>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</si>
  <si>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</si>
  <si>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</si>
  <si>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</si>
  <si>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</si>
  <si>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</si>
  <si>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</si>
  <si>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</si>
  <si>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</si>
  <si>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</si>
  <si>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</si>
  <si>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</si>
  <si>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</si>
  <si>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</si>
  <si>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</si>
  <si>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</si>
  <si>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</si>
  <si>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</si>
  <si>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</si>
  <si>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</si>
  <si>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</si>
  <si>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</si>
  <si>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</si>
  <si>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</si>
  <si>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</si>
  <si>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</si>
  <si>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</si>
  <si>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</si>
  <si>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</si>
  <si>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</si>
  <si>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</si>
  <si>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</si>
  <si>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</si>
  <si>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</si>
  <si>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</si>
  <si>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</si>
  <si>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</si>
  <si>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</si>
  <si>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</si>
  <si>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</si>
  <si>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</si>
  <si>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</si>
  <si>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</si>
  <si>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</si>
  <si>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</si>
  <si>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</si>
  <si>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</si>
  <si>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</si>
  <si>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</si>
  <si>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</si>
  <si>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</si>
  <si>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</si>
  <si>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</si>
  <si>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</si>
  <si>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</si>
  <si>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</si>
  <si>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</si>
  <si>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</si>
  <si>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</si>
  <si>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</si>
  <si>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</si>
  <si>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</si>
  <si>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</si>
  <si>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</si>
  <si>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</si>
  <si>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</si>
  <si>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</si>
  <si>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</si>
  <si>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</si>
  <si>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</si>
  <si>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</si>
  <si>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</si>
  <si>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</si>
  <si>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</si>
  <si>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</si>
  <si>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</si>
  <si>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</si>
  <si>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</si>
  <si>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</si>
  <si>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</si>
  <si>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</si>
  <si>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</si>
  <si>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</si>
  <si>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</si>
  <si>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</si>
  <si>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</si>
  <si>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</si>
  <si>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</si>
  <si>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</si>
  <si>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</si>
  <si>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</si>
  <si>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</si>
  <si>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</si>
  <si>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</si>
  <si>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</si>
  <si>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</si>
  <si>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</si>
  <si>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</si>
  <si>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</si>
  <si>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</si>
  <si>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</si>
  <si>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</si>
  <si>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</si>
  <si>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</si>
  <si>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</si>
  <si>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</si>
  <si>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</si>
  <si>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</si>
  <si>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</si>
  <si>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</si>
  <si>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</si>
  <si>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</si>
  <si>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</si>
  <si>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</si>
  <si>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</si>
  <si>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</si>
  <si>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</si>
  <si>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</si>
  <si>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</si>
  <si>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</si>
  <si>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</si>
  <si>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</si>
  <si>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</si>
  <si>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</si>
  <si>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</si>
  <si>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</si>
  <si>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</si>
  <si>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</si>
  <si>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</si>
  <si>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</si>
  <si>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</si>
  <si>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</si>
  <si>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</si>
  <si>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</si>
  <si>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</si>
  <si>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</si>
  <si>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</si>
  <si>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</si>
  <si>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</si>
  <si>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</si>
  <si>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</si>
  <si>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</si>
  <si>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</si>
  <si>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</si>
  <si>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</si>
  <si>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</si>
  <si>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</si>
  <si>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</si>
  <si>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</si>
  <si>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</si>
  <si>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</si>
  <si>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</si>
  <si>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</si>
  <si>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</si>
  <si>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</si>
  <si>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</si>
  <si>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</si>
  <si>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</si>
  <si>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</si>
  <si>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</si>
  <si>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</si>
  <si>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</si>
  <si>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</si>
  <si>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</si>
  <si>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</si>
  <si>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</si>
  <si>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</si>
  <si>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</si>
  <si>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</si>
  <si>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</si>
  <si>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</si>
  <si>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</si>
  <si>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</si>
  <si>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</si>
  <si>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</si>
  <si>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</si>
  <si>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</si>
  <si>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</si>
  <si>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</si>
  <si>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</si>
  <si>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</si>
  <si>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</si>
  <si>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</si>
  <si>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</si>
  <si>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</si>
  <si>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</si>
  <si>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</si>
  <si>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</si>
  <si>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</si>
  <si>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</si>
  <si>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</si>
  <si>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</si>
  <si>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</si>
  <si>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</si>
  <si>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</si>
  <si>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</si>
  <si>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</si>
  <si>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</si>
  <si>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</si>
  <si>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</si>
  <si>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</si>
  <si>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</si>
  <si>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</si>
  <si>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</si>
  <si>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</si>
  <si>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</si>
  <si>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</si>
  <si>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</si>
  <si>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</si>
  <si>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</si>
  <si>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</si>
  <si>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</si>
  <si>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</si>
  <si>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</si>
  <si>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</si>
  <si>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</si>
  <si>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</si>
  <si>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</si>
  <si>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</si>
  <si>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</si>
  <si>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</si>
  <si>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</si>
  <si>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</si>
  <si>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</si>
  <si>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</si>
  <si>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</si>
  <si>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</si>
  <si>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</si>
  <si>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</si>
  <si>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</si>
  <si>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</si>
  <si>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</si>
  <si>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</si>
  <si>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</si>
  <si>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</si>
  <si>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</si>
  <si>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</si>
  <si>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</si>
  <si>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</si>
  <si>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</si>
  <si>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</si>
  <si>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</si>
  <si>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</si>
  <si>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</si>
  <si>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</si>
  <si>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</si>
  <si>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</si>
  <si>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</si>
  <si>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</si>
  <si>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</si>
  <si>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</si>
  <si>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</si>
  <si>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</si>
  <si>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</si>
  <si>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</si>
  <si>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</si>
  <si>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</si>
  <si>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</si>
  <si>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</si>
  <si>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</si>
  <si>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</si>
  <si>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</si>
  <si>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</si>
  <si>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</si>
  <si>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</si>
  <si>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</si>
  <si>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</si>
  <si>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</si>
  <si>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</si>
  <si>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</si>
  <si>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</si>
  <si>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</si>
  <si>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</si>
  <si>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</si>
  <si>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</si>
  <si>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</si>
  <si>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</si>
  <si>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</si>
  <si>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</si>
  <si>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</si>
  <si>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</si>
  <si>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</si>
  <si>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</si>
  <si>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</si>
  <si>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</si>
  <si>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</si>
  <si>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</si>
  <si>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</si>
  <si>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</si>
  <si>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</si>
  <si>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</si>
  <si>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</si>
  <si>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</si>
  <si>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</si>
  <si>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</si>
  <si>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</si>
  <si>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</si>
  <si>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</si>
  <si>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</si>
  <si>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</si>
  <si>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</si>
  <si>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</si>
  <si>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</si>
  <si>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</si>
  <si>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</si>
  <si>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</si>
  <si>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</si>
  <si>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</si>
  <si>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</si>
  <si>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</si>
  <si>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</si>
  <si>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</si>
  <si>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</si>
  <si>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</si>
  <si>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</si>
  <si>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</si>
  <si>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</si>
  <si>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</si>
  <si>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</si>
  <si>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</si>
  <si>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</si>
  <si>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</si>
  <si>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</si>
  <si>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</si>
  <si>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</si>
  <si>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</si>
  <si>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</si>
  <si>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</si>
  <si>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</si>
  <si>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</si>
  <si>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</si>
  <si>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</si>
  <si>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</si>
  <si>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</si>
  <si>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</si>
  <si>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</si>
  <si>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</si>
  <si>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</si>
  <si>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</si>
  <si>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</si>
  <si>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</si>
  <si>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</si>
  <si>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</si>
  <si>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</si>
  <si>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</si>
  <si>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</si>
  <si>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</si>
  <si>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</si>
  <si>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</si>
  <si>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</si>
  <si>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</si>
  <si>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</si>
  <si>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</si>
  <si>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</si>
  <si>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</si>
  <si>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</si>
  <si>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</si>
  <si>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</si>
  <si>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</si>
  <si>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</si>
  <si>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</si>
  <si>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</si>
  <si>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</si>
  <si>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</si>
  <si>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</si>
  <si>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</si>
  <si>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</si>
  <si>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</si>
  <si>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</si>
  <si>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</si>
  <si>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</si>
  <si>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</si>
  <si>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</si>
  <si>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</si>
  <si>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</si>
  <si>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</si>
  <si>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</si>
  <si>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</si>
  <si>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</si>
  <si>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</si>
  <si>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</si>
  <si>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</si>
  <si>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</si>
  <si>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</si>
  <si>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</si>
  <si>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</si>
  <si>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</si>
  <si>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</si>
  <si>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</si>
  <si>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</si>
  <si>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</si>
  <si>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</si>
  <si>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</si>
  <si>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</si>
  <si>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</si>
  <si>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</si>
  <si>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</si>
  <si>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</si>
  <si>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</si>
  <si>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</si>
  <si>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</si>
  <si>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</si>
  <si>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</si>
  <si>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</si>
  <si>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</si>
  <si>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</si>
  <si>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</si>
  <si>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</si>
  <si>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</si>
  <si>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</si>
  <si>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</si>
  <si>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</si>
  <si>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</si>
  <si>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</si>
  <si>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</si>
  <si>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</si>
  <si>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</si>
  <si>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</si>
  <si>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</si>
  <si>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</si>
  <si>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</si>
  <si>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</si>
  <si>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</si>
  <si>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</si>
  <si>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</si>
  <si>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</si>
  <si>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</si>
  <si>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</si>
  <si>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</si>
  <si>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</si>
  <si>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</si>
  <si>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</si>
  <si>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</si>
  <si>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</si>
  <si>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</si>
  <si>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</si>
  <si>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</si>
  <si>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</si>
  <si>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</si>
  <si>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</si>
  <si>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</si>
  <si>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</si>
  <si>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</si>
  <si>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</si>
  <si>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</si>
  <si>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</si>
  <si>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</si>
  <si>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</si>
  <si>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</si>
  <si>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</si>
  <si>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</si>
  <si>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</si>
  <si>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</si>
  <si>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</si>
  <si>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</si>
  <si>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</si>
  <si>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</si>
  <si>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</si>
  <si>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</si>
  <si>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</si>
  <si>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</si>
  <si>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</si>
  <si>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</si>
  <si>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</si>
  <si>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</si>
  <si>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</si>
  <si>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</si>
  <si>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</si>
  <si>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</si>
  <si>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</si>
  <si>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</si>
  <si>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</si>
  <si>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</si>
  <si>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</si>
  <si>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</si>
  <si>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</si>
  <si>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</si>
  <si>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</si>
  <si>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</si>
  <si>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</si>
  <si>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</si>
  <si>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</si>
  <si>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</si>
  <si>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</si>
  <si>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</si>
  <si>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</si>
  <si>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</si>
  <si>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</si>
  <si>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</si>
  <si>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</si>
  <si>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</si>
  <si>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</si>
  <si>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</si>
  <si>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</si>
  <si>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</si>
  <si>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</si>
  <si>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</si>
  <si>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</si>
  <si>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</si>
  <si>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</si>
  <si>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</si>
  <si>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</si>
  <si>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</si>
  <si>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</si>
  <si>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</si>
  <si>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</si>
  <si>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</si>
  <si>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</si>
  <si>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</si>
  <si>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</si>
  <si>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</si>
  <si>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</si>
  <si>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</si>
  <si>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</si>
  <si>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</si>
  <si>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</si>
  <si>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</si>
  <si>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</si>
  <si>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</si>
  <si>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</si>
  <si>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</si>
  <si>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</si>
  <si>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</si>
  <si>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</si>
  <si>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</si>
  <si>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</si>
  <si>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</si>
  <si>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</si>
  <si>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</si>
  <si>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</si>
  <si>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</si>
  <si>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</si>
  <si>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</si>
  <si>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</si>
  <si>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</si>
  <si>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</si>
  <si>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</si>
  <si>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</si>
  <si>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</si>
  <si>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</si>
  <si>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</si>
  <si>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</si>
  <si>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</si>
  <si>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</si>
  <si>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</si>
  <si>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</si>
  <si>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</si>
  <si>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</si>
  <si>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</si>
  <si>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</si>
  <si>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</si>
  <si>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</si>
  <si>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</si>
  <si>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</si>
  <si>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</si>
  <si>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</si>
  <si>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</si>
  <si>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</si>
  <si>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</si>
  <si>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</si>
  <si>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</si>
  <si>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</si>
  <si>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</si>
  <si>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</si>
  <si>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</si>
  <si>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</si>
  <si>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</si>
  <si>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</si>
  <si>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</si>
  <si>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</si>
  <si>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</si>
  <si>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</si>
  <si>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</si>
  <si>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</si>
  <si>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</si>
  <si>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</si>
  <si>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</si>
  <si>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</si>
  <si>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</si>
  <si>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</si>
  <si>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</si>
  <si>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</si>
  <si>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</si>
  <si>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</si>
  <si>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</si>
  <si>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</si>
  <si>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</si>
  <si>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</si>
  <si>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</si>
  <si>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</si>
  <si>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</si>
  <si>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</si>
  <si>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</si>
  <si>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</si>
  <si>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</si>
  <si>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</si>
  <si>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</si>
  <si>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</si>
  <si>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</si>
  <si>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</si>
  <si>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</si>
  <si>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</si>
  <si>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</si>
  <si>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</si>
  <si>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</si>
  <si>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</si>
  <si>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</si>
  <si>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</si>
  <si>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</si>
  <si>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</si>
  <si>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</si>
  <si>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</si>
  <si>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</si>
  <si>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</si>
  <si>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</si>
  <si>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</si>
  <si>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</si>
  <si>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</si>
  <si>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</si>
  <si>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</si>
  <si>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</si>
  <si>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</si>
  <si>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</si>
  <si>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</si>
  <si>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</si>
  <si>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</si>
  <si>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</si>
  <si>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</si>
  <si>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</si>
  <si>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</si>
  <si>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</si>
  <si>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</si>
  <si>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</si>
  <si>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</si>
  <si>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</si>
  <si>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</si>
  <si>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</si>
  <si>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</si>
  <si>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</si>
  <si>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</si>
  <si>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</si>
  <si>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</si>
  <si>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</si>
  <si>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</si>
  <si>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</si>
  <si>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</si>
  <si>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</si>
  <si>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</si>
  <si>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</si>
  <si>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</si>
  <si>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</si>
  <si>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</si>
  <si>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</si>
  <si>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</si>
  <si>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</si>
  <si>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</si>
  <si>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</si>
  <si>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</si>
  <si>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</si>
  <si>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</si>
  <si>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</si>
  <si>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</si>
  <si>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</si>
  <si>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</si>
  <si>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</si>
  <si>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</si>
  <si>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</si>
  <si>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</si>
  <si>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</si>
  <si>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</si>
  <si>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</si>
  <si>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</si>
  <si>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</si>
  <si>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</si>
  <si>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</si>
  <si>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</si>
  <si>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</si>
  <si>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</si>
  <si>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</si>
  <si>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</si>
  <si>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</si>
  <si>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</si>
  <si>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</si>
  <si>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</si>
  <si>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</si>
  <si>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</si>
  <si>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</si>
  <si>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</si>
  <si>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</si>
  <si>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</si>
  <si>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</si>
  <si>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</si>
  <si>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</si>
  <si>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</si>
  <si>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</si>
  <si>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</si>
  <si>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</si>
  <si>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</si>
  <si>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</si>
  <si>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</si>
  <si>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</si>
  <si>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</si>
  <si>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</si>
  <si>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</si>
  <si>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</si>
  <si>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</si>
  <si>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</si>
  <si>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</si>
  <si>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</si>
  <si>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</si>
  <si>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</si>
  <si>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</si>
  <si>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</si>
  <si>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</si>
  <si>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</si>
  <si>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</si>
  <si>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</si>
  <si>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</si>
  <si>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</si>
  <si>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</si>
  <si>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</si>
  <si>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</si>
  <si>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</si>
  <si>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</si>
  <si>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</si>
  <si>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</si>
  <si>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</si>
  <si>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</si>
  <si>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</si>
  <si>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</si>
  <si>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</si>
  <si>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</si>
  <si>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</si>
  <si>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</si>
  <si>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</si>
  <si>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</si>
  <si>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</si>
  <si>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</si>
  <si>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</si>
  <si>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</si>
  <si>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</si>
  <si>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</si>
  <si>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</si>
  <si>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</si>
  <si>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</si>
  <si>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</si>
  <si>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</si>
  <si>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</si>
  <si>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</si>
  <si>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</si>
  <si>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</si>
  <si>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</si>
  <si>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</si>
  <si>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</si>
  <si>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</si>
  <si>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</si>
  <si>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</si>
  <si>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</si>
  <si>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</si>
  <si>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</si>
  <si>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</si>
  <si>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</si>
  <si>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</si>
  <si>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</si>
  <si>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</si>
  <si>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</si>
  <si>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</si>
  <si>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</si>
  <si>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</si>
  <si>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</si>
  <si>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</si>
  <si>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</si>
  <si>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</si>
  <si>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</si>
  <si>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</si>
  <si>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</si>
  <si>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</si>
  <si>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</si>
  <si>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</si>
  <si>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</si>
  <si>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</si>
  <si>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</si>
  <si>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</si>
  <si>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</si>
  <si>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</si>
  <si>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</si>
  <si>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</si>
  <si>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</si>
  <si>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</si>
  <si>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</si>
  <si>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</si>
  <si>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</si>
  <si>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</si>
  <si>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</si>
  <si>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</si>
  <si>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</si>
  <si>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</si>
  <si>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</si>
  <si>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</si>
  <si>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</si>
  <si>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</si>
  <si>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</si>
  <si>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</si>
  <si>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</si>
  <si>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</si>
  <si>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</si>
  <si>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</si>
  <si>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</si>
  <si>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</si>
  <si>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</si>
  <si>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</si>
  <si>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</si>
  <si>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</si>
  <si>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</si>
  <si>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</si>
  <si>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</si>
  <si>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</si>
  <si>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</si>
  <si>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</si>
  <si>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</si>
  <si>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</si>
  <si>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</si>
  <si>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</si>
  <si>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</si>
  <si>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</si>
  <si>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</si>
  <si>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</si>
  <si>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</si>
  <si>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</si>
  <si>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</si>
  <si>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</si>
  <si>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</si>
  <si>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</si>
  <si>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</si>
  <si>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</si>
  <si>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</si>
  <si>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</si>
  <si>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</si>
  <si>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</si>
  <si>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</si>
  <si>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</si>
  <si>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</si>
  <si>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</si>
  <si>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</si>
  <si>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</si>
  <si>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</si>
  <si>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</si>
  <si>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</si>
  <si>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</si>
  <si>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</si>
  <si>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</si>
  <si>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</si>
  <si>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</si>
  <si>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</si>
  <si>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</si>
  <si>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</si>
  <si>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</si>
  <si>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</si>
  <si>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</si>
  <si>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</si>
  <si>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</si>
  <si>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</si>
  <si>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</si>
  <si>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</si>
  <si>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</si>
  <si>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</si>
  <si>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</si>
  <si>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</si>
  <si>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</si>
  <si>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</si>
  <si>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</si>
  <si>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</si>
  <si>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</si>
  <si>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</si>
  <si>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</si>
  <si>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</si>
  <si>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</si>
  <si>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</si>
  <si>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</si>
  <si>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</si>
  <si>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</si>
  <si>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</si>
  <si>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</si>
  <si>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</si>
  <si>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</si>
  <si>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</si>
  <si>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</si>
  <si>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</si>
  <si>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</si>
  <si>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</si>
  <si>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</si>
  <si>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</si>
  <si>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</si>
  <si>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</si>
  <si>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</si>
  <si>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</si>
  <si>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</si>
  <si>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</si>
  <si>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</si>
  <si>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</si>
  <si>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</si>
  <si>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</si>
  <si>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</si>
  <si>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</si>
  <si>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</si>
  <si>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</si>
  <si>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</si>
  <si>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</si>
  <si>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</si>
  <si>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</si>
  <si>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</si>
  <si>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</si>
  <si>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</si>
  <si>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</si>
  <si>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</si>
  <si>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</si>
  <si>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</si>
  <si>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</si>
  <si>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</si>
  <si>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</si>
  <si>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</si>
  <si>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</si>
  <si>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</si>
  <si>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</si>
  <si>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</si>
  <si>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</si>
  <si>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</si>
  <si>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</si>
  <si>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</si>
  <si>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</si>
  <si>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</si>
  <si>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</si>
  <si>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</si>
  <si>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</si>
  <si>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</si>
  <si>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</si>
  <si>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</si>
  <si>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</si>
  <si>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</si>
  <si>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</si>
  <si>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</si>
  <si>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</si>
  <si>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</si>
  <si>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</si>
  <si>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</si>
  <si>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</si>
  <si>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</si>
  <si>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</si>
  <si>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</si>
  <si>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</si>
  <si>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</si>
  <si>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</si>
  <si>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</si>
  <si>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</si>
  <si>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</si>
  <si>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</si>
  <si>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</si>
  <si>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</si>
  <si>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</si>
  <si>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</si>
  <si>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</si>
  <si>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</si>
  <si>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</si>
  <si>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</si>
  <si>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</si>
  <si>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</si>
  <si>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</si>
  <si>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</si>
  <si>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</si>
  <si>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</si>
  <si>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</si>
  <si>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</si>
  <si>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</si>
  <si>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</si>
  <si>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</si>
  <si>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</si>
  <si>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</si>
  <si>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</si>
  <si>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</si>
  <si>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</si>
  <si>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</si>
  <si>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</si>
  <si>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</si>
  <si>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</si>
  <si>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</si>
  <si>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</si>
  <si>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</si>
  <si>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</si>
  <si>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</si>
  <si>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</si>
  <si>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</si>
  <si>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</si>
  <si>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</si>
  <si>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</si>
  <si>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</si>
  <si>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</si>
  <si>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</si>
  <si>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</si>
  <si>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</si>
  <si>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</si>
  <si>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</si>
  <si>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</si>
  <si>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</si>
  <si>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</si>
  <si>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</si>
  <si>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</si>
  <si>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</si>
  <si>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</si>
  <si>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</si>
  <si>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</si>
  <si>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</si>
  <si>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</si>
  <si>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</si>
  <si>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</si>
  <si>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</si>
  <si>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</si>
  <si>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</si>
  <si>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</si>
  <si>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</si>
  <si>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</si>
  <si>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</si>
  <si>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</si>
  <si>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</si>
  <si>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</si>
  <si>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</si>
  <si>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</si>
  <si>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</si>
  <si>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</si>
  <si>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</si>
  <si>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</si>
  <si>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</si>
  <si>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</si>
  <si>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</si>
  <si>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</si>
  <si>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</si>
  <si>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</si>
  <si>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</si>
  <si>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</si>
  <si>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</si>
  <si>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</si>
  <si>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</si>
  <si>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</si>
  <si>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</si>
  <si>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</si>
  <si>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</si>
  <si>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</si>
  <si>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</si>
  <si>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</si>
  <si>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</si>
  <si>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</si>
  <si>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</si>
  <si>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</si>
  <si>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</si>
  <si>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</si>
  <si>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</si>
  <si>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</si>
  <si>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</si>
  <si>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</si>
  <si>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</si>
  <si>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</si>
  <si>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</si>
  <si>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</si>
  <si>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</si>
  <si>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</si>
  <si>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</si>
  <si>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</si>
  <si>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</si>
  <si>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</si>
  <si>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</si>
  <si>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</si>
  <si>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</si>
  <si>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</si>
  <si>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</si>
  <si>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</si>
  <si>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</si>
  <si>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</si>
  <si>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</si>
  <si>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</si>
  <si>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</si>
  <si>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</si>
  <si>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</si>
  <si>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</si>
  <si>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</si>
  <si>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</si>
  <si>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</si>
  <si>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</si>
  <si>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</si>
  <si>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</si>
  <si>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</si>
  <si>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</si>
  <si>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</si>
  <si>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</si>
  <si>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</si>
  <si>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</si>
  <si>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</si>
  <si>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</si>
  <si>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</si>
  <si>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</si>
  <si>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</si>
  <si>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</si>
  <si>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</si>
  <si>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</si>
  <si>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</si>
  <si>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</si>
  <si>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</si>
  <si>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</si>
  <si>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</si>
  <si>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</si>
  <si>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</si>
  <si>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</si>
  <si>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</si>
  <si>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</si>
  <si>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</si>
  <si>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</si>
  <si>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</si>
  <si>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</si>
  <si>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</si>
  <si>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</si>
  <si>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</si>
  <si>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</si>
  <si>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</si>
  <si>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</si>
  <si>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</si>
  <si>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</si>
  <si>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</si>
  <si>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</si>
  <si>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</si>
  <si>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</si>
  <si>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</si>
  <si>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</si>
  <si>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</si>
  <si>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</si>
  <si>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</si>
  <si>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</si>
  <si>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</si>
  <si>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</si>
  <si>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</si>
  <si>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</si>
  <si>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</si>
  <si>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</si>
  <si>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</si>
  <si>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</si>
  <si>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</si>
  <si>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</si>
  <si>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</si>
  <si>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</si>
  <si>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</si>
  <si>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</si>
  <si>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</si>
  <si>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</si>
  <si>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</si>
  <si>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</si>
  <si>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</si>
  <si>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</si>
  <si>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</si>
  <si>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</si>
  <si>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</si>
  <si>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</si>
  <si>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</si>
  <si>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</si>
  <si>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</si>
  <si>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</si>
  <si>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</si>
  <si>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</si>
  <si>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</si>
  <si>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</si>
  <si>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</si>
  <si>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</si>
  <si>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</si>
  <si>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</si>
  <si>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</si>
  <si>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</si>
  <si>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</si>
  <si>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</si>
  <si>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</si>
  <si>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</si>
  <si>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</si>
  <si>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</si>
  <si>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</si>
  <si>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</si>
  <si>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</si>
  <si>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</si>
  <si>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</si>
  <si>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</si>
  <si>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</si>
  <si>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</si>
  <si>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</si>
  <si>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</si>
  <si>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</si>
  <si>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</si>
  <si>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</si>
  <si>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</si>
  <si>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</si>
  <si>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</si>
  <si>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</si>
  <si>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</si>
  <si>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</si>
  <si>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</si>
  <si>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</si>
  <si>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</si>
  <si>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</si>
  <si>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</si>
  <si>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</si>
  <si>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</si>
  <si>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</si>
  <si>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</si>
  <si>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</si>
  <si>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</si>
  <si>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</si>
  <si>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</si>
  <si>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</si>
  <si>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</si>
  <si>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</si>
  <si>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</si>
  <si>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</si>
  <si>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</si>
  <si>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</si>
  <si>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</si>
  <si>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</si>
  <si>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</si>
  <si>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</si>
  <si>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</si>
  <si>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</si>
  <si>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</si>
  <si>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</si>
  <si>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</si>
  <si>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</si>
  <si>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</si>
  <si>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</si>
  <si>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</si>
  <si>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</si>
  <si>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</si>
  <si>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</si>
  <si>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</si>
  <si>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</si>
  <si>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</si>
  <si>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</si>
  <si>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</si>
  <si>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</si>
  <si>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</si>
  <si>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</si>
  <si>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</si>
  <si>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</si>
  <si>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</si>
  <si>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</si>
  <si>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</si>
  <si>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</si>
  <si>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</si>
  <si>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</si>
  <si>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</si>
  <si>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</si>
  <si>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</si>
  <si>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</si>
  <si>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</si>
  <si>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</si>
  <si>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</si>
  <si>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</si>
  <si>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</si>
  <si>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</si>
  <si>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</si>
  <si>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</si>
  <si>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</si>
  <si>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</si>
  <si>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</si>
  <si>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</si>
  <si>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</si>
  <si>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</si>
  <si>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</si>
  <si>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</si>
  <si>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</si>
  <si>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</si>
  <si>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</si>
  <si>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</si>
  <si>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</si>
  <si>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</si>
  <si>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</si>
  <si>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</si>
  <si>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</si>
  <si>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</si>
  <si>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</si>
  <si>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</si>
  <si>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</si>
  <si>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</si>
  <si>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</si>
  <si>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</si>
  <si>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</si>
  <si>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</si>
  <si>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</si>
  <si>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</si>
  <si>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</si>
  <si>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</si>
  <si>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</si>
  <si>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</si>
  <si>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</si>
  <si>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</si>
  <si>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</si>
  <si>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</si>
  <si>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</si>
  <si>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</si>
  <si>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</si>
  <si>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</si>
  <si>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</si>
  <si>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</si>
  <si>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</si>
  <si>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</si>
  <si>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</si>
  <si>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</si>
  <si>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</si>
  <si>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</si>
  <si>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</si>
  <si>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</si>
  <si>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</si>
  <si>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</si>
  <si>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</si>
  <si>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</si>
  <si>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</si>
  <si>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</si>
  <si>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</si>
  <si>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</si>
  <si>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</si>
  <si>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</si>
  <si>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</si>
  <si>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</si>
  <si>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</si>
  <si>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</si>
  <si>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</si>
  <si>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</si>
  <si>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</si>
  <si>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</si>
  <si>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</si>
  <si>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</si>
  <si>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</si>
  <si>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</si>
  <si>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</si>
  <si>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</si>
  <si>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</si>
  <si>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</si>
  <si>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</si>
  <si>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</si>
  <si>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</si>
  <si>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</si>
  <si>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</si>
  <si>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</si>
  <si>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</si>
  <si>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</si>
  <si>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</si>
  <si>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</si>
  <si>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</si>
  <si>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</si>
  <si>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</si>
  <si>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</si>
  <si>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</si>
  <si>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</si>
  <si>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</si>
  <si>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</si>
  <si>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</si>
  <si>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</si>
  <si>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</si>
  <si>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</si>
  <si>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</si>
  <si>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</si>
  <si>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</si>
  <si>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</si>
  <si>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</si>
  <si>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</si>
  <si>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</si>
  <si>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</si>
  <si>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</si>
  <si>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</si>
  <si>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</si>
  <si>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</si>
  <si>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</si>
  <si>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</si>
  <si>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</si>
  <si>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</si>
  <si>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</si>
  <si>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</si>
  <si>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</si>
  <si>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</si>
  <si>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</si>
  <si>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</si>
  <si>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</si>
  <si>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</si>
  <si>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</si>
  <si>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</si>
  <si>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</si>
  <si>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</si>
  <si>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</si>
  <si>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</si>
  <si>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</si>
  <si>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</si>
  <si>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</si>
  <si>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</si>
  <si>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</si>
  <si>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</si>
  <si>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</si>
  <si>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</si>
  <si>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</si>
  <si>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</si>
  <si>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</si>
  <si>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</si>
  <si>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</si>
  <si>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</si>
  <si>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</si>
  <si>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</si>
  <si>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</si>
  <si>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</si>
  <si>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</si>
  <si>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</si>
  <si>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</si>
  <si>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</si>
  <si>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</si>
  <si>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</si>
  <si>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</si>
  <si>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</si>
  <si>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</si>
  <si>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</si>
  <si>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</si>
  <si>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</si>
  <si>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</si>
  <si>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</si>
  <si>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</si>
  <si>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</si>
  <si>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</si>
  <si>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</si>
  <si>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</si>
  <si>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</si>
  <si>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</si>
  <si>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</si>
  <si>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</si>
  <si>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</si>
  <si>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</si>
  <si>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</si>
  <si>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</si>
  <si>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</si>
  <si>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</si>
  <si>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</si>
  <si>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</si>
  <si>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</si>
  <si>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</si>
  <si>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</si>
  <si>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</si>
  <si>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</si>
  <si>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</si>
  <si>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</si>
  <si>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</si>
  <si>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</si>
  <si>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</si>
  <si>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</si>
  <si>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</si>
  <si>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</si>
  <si>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</si>
  <si>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</si>
  <si>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</si>
  <si>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</si>
  <si>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</si>
  <si>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</si>
  <si>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</si>
  <si>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</si>
  <si>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</si>
  <si>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</si>
  <si>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</si>
  <si>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</si>
  <si>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</si>
  <si>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</si>
  <si>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</si>
  <si>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</si>
  <si>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</si>
  <si>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</si>
  <si>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</si>
  <si>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</si>
  <si>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</si>
  <si>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</si>
  <si>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</si>
  <si>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</si>
  <si>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</si>
  <si>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</si>
  <si>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</si>
  <si>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</si>
  <si>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</si>
  <si>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</si>
  <si>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</si>
  <si>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</si>
  <si>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</si>
  <si>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</si>
  <si>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</si>
  <si>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</si>
  <si>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</si>
  <si>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</si>
  <si>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</si>
  <si>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</si>
  <si>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</si>
  <si>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</si>
  <si>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</si>
  <si>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</si>
  <si>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</si>
  <si>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</si>
  <si>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</si>
  <si>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</si>
  <si>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</si>
  <si>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</si>
  <si>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</si>
  <si>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</si>
  <si>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</si>
  <si>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</si>
  <si>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</si>
  <si>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</si>
  <si>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</si>
  <si>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</si>
  <si>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</si>
  <si>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</si>
  <si>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</si>
  <si>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</si>
  <si>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</si>
  <si>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</si>
  <si>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</si>
  <si>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</si>
  <si>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</si>
  <si>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</si>
  <si>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</si>
  <si>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</si>
  <si>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</si>
  <si>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</si>
  <si>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</si>
  <si>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</si>
  <si>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</si>
  <si>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</si>
  <si>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</si>
  <si>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</si>
  <si>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</si>
  <si>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</si>
  <si>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</si>
  <si>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</si>
  <si>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</si>
  <si>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</si>
  <si>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</si>
  <si>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</si>
  <si>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</si>
  <si>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</si>
  <si>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</si>
  <si>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</si>
  <si>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</si>
  <si>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</si>
  <si>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</si>
  <si>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</si>
  <si>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</si>
  <si>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</si>
  <si>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</si>
  <si>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</si>
  <si>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</si>
  <si>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</si>
  <si>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</si>
  <si>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</si>
  <si>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</si>
  <si>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</si>
  <si>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</si>
  <si>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</si>
  <si>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</si>
  <si>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</si>
  <si>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</si>
  <si>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</si>
  <si>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</si>
  <si>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</si>
  <si>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</si>
  <si>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</si>
  <si>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</si>
  <si>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</si>
  <si>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</si>
  <si>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</si>
  <si>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</si>
  <si>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</si>
  <si>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</si>
  <si>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</si>
  <si>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</si>
  <si>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</si>
  <si>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</si>
  <si>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</si>
  <si>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</si>
  <si>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</si>
  <si>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</si>
  <si>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</si>
  <si>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</si>
  <si>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</si>
  <si>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</si>
  <si>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</si>
  <si>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</si>
  <si>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</si>
  <si>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</si>
  <si>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</si>
  <si>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</si>
  <si>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</si>
  <si>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</si>
  <si>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</si>
  <si>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</si>
  <si>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</si>
  <si>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</si>
  <si>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</si>
  <si>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</si>
  <si>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</si>
  <si>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</si>
  <si>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</si>
  <si>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</si>
  <si>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</si>
  <si>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</si>
  <si>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</si>
  <si>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</si>
  <si>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</si>
  <si>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</si>
  <si>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</si>
  <si>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</si>
  <si>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</si>
  <si>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</si>
  <si>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</si>
  <si>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</si>
  <si>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</si>
  <si>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</si>
  <si>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</si>
  <si>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</si>
  <si>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</si>
  <si>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</si>
  <si>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</si>
  <si>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</si>
  <si>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</si>
  <si>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</si>
  <si>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</si>
  <si>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</si>
  <si>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</si>
  <si>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</si>
  <si>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</si>
  <si>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</si>
  <si>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</si>
  <si>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</si>
  <si>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</si>
  <si>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</si>
  <si>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</si>
  <si>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</si>
  <si>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</si>
  <si>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</si>
  <si>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</si>
  <si>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</si>
  <si>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</si>
  <si>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</si>
  <si>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</si>
  <si>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</si>
  <si>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</si>
  <si>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</si>
  <si>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</si>
  <si>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</si>
  <si>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</si>
  <si>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</si>
  <si>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</si>
  <si>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</si>
  <si>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</si>
  <si>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</si>
  <si>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</si>
  <si>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</si>
  <si>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</si>
  <si>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</si>
  <si>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</si>
  <si>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</si>
  <si>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</si>
  <si>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</si>
  <si>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</si>
  <si>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</si>
  <si>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</si>
  <si>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</si>
  <si>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</si>
  <si>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</si>
  <si>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</si>
  <si>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</si>
  <si>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</si>
  <si>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</si>
  <si>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</si>
  <si>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</si>
  <si>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</si>
  <si>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</si>
  <si>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</si>
  <si>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</si>
  <si>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</si>
  <si>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</si>
  <si>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</si>
  <si>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</si>
  <si>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</si>
  <si>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</si>
  <si>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</si>
  <si>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</si>
  <si>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</si>
  <si>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</si>
  <si>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</si>
  <si>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</si>
  <si>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</si>
  <si>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</si>
  <si>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</si>
  <si>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</si>
  <si>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</si>
  <si>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</si>
  <si>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</si>
  <si>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</si>
  <si>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</si>
  <si>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</si>
  <si>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</si>
  <si>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</si>
  <si>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</si>
  <si>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</si>
  <si>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</si>
  <si>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</si>
  <si>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</si>
  <si>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</si>
  <si>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</si>
  <si>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</si>
  <si>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</si>
  <si>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</si>
  <si>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</si>
  <si>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</si>
  <si>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</si>
  <si>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</si>
  <si>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</si>
  <si>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</si>
  <si>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</si>
  <si>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</si>
  <si>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</si>
  <si>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</si>
  <si>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</si>
  <si>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</si>
  <si>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</si>
  <si>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</si>
  <si>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</si>
  <si>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</si>
  <si>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</si>
  <si>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</si>
  <si>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</si>
  <si>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</si>
  <si>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</si>
  <si>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</si>
  <si>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</si>
  <si>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</si>
  <si>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</si>
  <si>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</si>
  <si>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</si>
  <si>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</si>
  <si>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</si>
  <si>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</si>
  <si>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</si>
  <si>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</si>
  <si>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</si>
  <si>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</si>
  <si>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</si>
  <si>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</si>
  <si>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</si>
  <si>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</si>
  <si>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</si>
  <si>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</si>
  <si>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</si>
  <si>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</si>
  <si>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</si>
  <si>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</si>
  <si>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</si>
  <si>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</si>
  <si>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</si>
  <si>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</si>
  <si>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</si>
  <si>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</si>
  <si>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</si>
  <si>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</si>
  <si>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</si>
  <si>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</si>
  <si>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</si>
  <si>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</si>
  <si>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</si>
  <si>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</si>
  <si>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</si>
  <si>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</si>
  <si>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</si>
  <si>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</si>
  <si>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</si>
  <si>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</si>
  <si>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</si>
  <si>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</si>
  <si>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</si>
  <si>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</si>
  <si>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</si>
  <si>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</si>
  <si>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</si>
  <si>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</si>
  <si>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</si>
  <si>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</si>
  <si>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</si>
  <si>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</si>
  <si>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</si>
  <si>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</si>
  <si>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</si>
  <si>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</si>
  <si>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</si>
  <si>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</si>
  <si>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</si>
  <si>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</si>
  <si>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</si>
  <si>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</si>
  <si>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</si>
  <si>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</si>
  <si>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</si>
  <si>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</si>
  <si>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</si>
  <si>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</si>
  <si>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</si>
  <si>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</si>
  <si>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</si>
  <si>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</si>
  <si>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</si>
  <si>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</si>
  <si>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</si>
  <si>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</si>
  <si>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</si>
  <si>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</si>
  <si>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</si>
  <si>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</si>
  <si>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</si>
  <si>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</si>
  <si>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</si>
  <si>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</si>
  <si>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</si>
  <si>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</si>
  <si>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</si>
  <si>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</si>
  <si>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</si>
  <si>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</si>
  <si>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</si>
  <si>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</si>
  <si>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</si>
  <si>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</si>
  <si>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</si>
  <si>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</si>
  <si>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</si>
  <si>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</si>
  <si>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</si>
  <si>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</si>
  <si>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</si>
  <si>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</si>
  <si>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</si>
  <si>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</si>
  <si>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</si>
  <si>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</si>
  <si>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</si>
  <si>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</si>
  <si>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</si>
  <si>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</si>
  <si>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</si>
  <si>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</si>
  <si>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</si>
  <si>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</si>
  <si>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</si>
  <si>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</si>
  <si>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</si>
  <si>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</si>
  <si>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</si>
  <si>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</si>
  <si>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</si>
  <si>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</si>
  <si>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</si>
  <si>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</si>
  <si>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</si>
  <si>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</si>
  <si>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</si>
  <si>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</si>
  <si>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</si>
  <si>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</si>
  <si>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</si>
  <si>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</si>
  <si>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</si>
  <si>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</si>
  <si>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</si>
  <si>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</si>
  <si>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</si>
  <si>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</si>
  <si>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</si>
  <si>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</si>
  <si>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</si>
  <si>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</si>
  <si>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</si>
  <si>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</si>
  <si>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</si>
  <si>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</si>
  <si>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</si>
  <si>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</si>
  <si>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</si>
  <si>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</si>
  <si>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</si>
  <si>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</si>
  <si>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</si>
  <si>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</si>
  <si>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</si>
  <si>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</si>
  <si>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</si>
  <si>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</si>
  <si>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</si>
  <si>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</si>
  <si>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</si>
  <si>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</si>
  <si>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</si>
  <si>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</si>
  <si>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</si>
  <si>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</si>
  <si>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</si>
  <si>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</si>
  <si>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</si>
  <si>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</si>
  <si>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</si>
  <si>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</si>
  <si>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</si>
  <si>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</si>
  <si>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</si>
  <si>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</si>
  <si>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</si>
  <si>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</si>
  <si>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</si>
  <si>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</si>
  <si>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</si>
  <si>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</si>
  <si>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</si>
  <si>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</si>
  <si>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</si>
  <si>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</si>
  <si>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</si>
  <si>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</si>
  <si>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</si>
  <si>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</si>
  <si>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</si>
  <si>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</si>
  <si>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</si>
  <si>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</si>
  <si>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</si>
  <si>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</si>
  <si>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</si>
  <si>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</si>
  <si>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</si>
  <si>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</si>
  <si>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</si>
  <si>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</si>
  <si>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</si>
  <si>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</si>
  <si>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</si>
  <si>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</si>
  <si>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</si>
  <si>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</si>
  <si>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</si>
  <si>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</si>
  <si>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</si>
  <si>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</si>
  <si>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</si>
  <si>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</si>
  <si>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</si>
  <si>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</si>
  <si>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</si>
  <si>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</si>
  <si>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</si>
  <si>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</si>
  <si>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</si>
  <si>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</si>
  <si>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</si>
  <si>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</si>
  <si>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</si>
  <si>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</si>
  <si>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</si>
  <si>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</si>
  <si>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</si>
  <si>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</si>
  <si>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</si>
  <si>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</si>
  <si>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</si>
  <si>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</si>
  <si>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</si>
  <si>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</si>
  <si>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</si>
  <si>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</si>
  <si>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</si>
  <si>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</si>
  <si>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</si>
  <si>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</si>
  <si>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</si>
  <si>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</si>
  <si>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</si>
  <si>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</si>
  <si>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</si>
  <si>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</si>
  <si>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</si>
  <si>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</si>
  <si>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</si>
  <si>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</si>
  <si>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</si>
  <si>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</si>
  <si>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</si>
  <si>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</si>
  <si>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</si>
  <si>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</si>
  <si>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</si>
  <si>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</si>
  <si>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</si>
  <si>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</si>
  <si>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</si>
  <si>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</si>
  <si>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</si>
  <si>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</si>
  <si>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</si>
  <si>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</si>
  <si>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</si>
  <si>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</si>
  <si>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</si>
  <si>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</si>
  <si>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</si>
  <si>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</si>
  <si>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</si>
  <si>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</si>
  <si>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</si>
  <si>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</si>
  <si>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</si>
  <si>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</si>
  <si>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</si>
  <si>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</si>
  <si>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</si>
  <si>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</si>
  <si>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</si>
  <si>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</si>
  <si>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</si>
  <si>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</si>
  <si>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</si>
  <si>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</si>
  <si>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</si>
  <si>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</si>
  <si>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</si>
  <si>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</si>
  <si>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</si>
  <si>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</si>
  <si>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</si>
  <si>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</si>
  <si>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</si>
  <si>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</si>
  <si>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</si>
  <si>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</si>
  <si>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</si>
  <si>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</si>
  <si>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</si>
  <si>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</si>
  <si>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</si>
  <si>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</si>
  <si>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</si>
  <si>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</si>
  <si>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</si>
  <si>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</si>
  <si>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</si>
  <si>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</si>
  <si>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</si>
  <si>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</si>
  <si>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</si>
  <si>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</si>
  <si>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</si>
  <si>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</si>
  <si>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</si>
  <si>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</si>
  <si>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</si>
  <si>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</si>
  <si>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</si>
  <si>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</si>
  <si>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</si>
  <si>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</si>
  <si>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</si>
  <si>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</si>
  <si>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</si>
  <si>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</si>
  <si>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</si>
  <si>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</si>
  <si>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</si>
  <si>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</si>
  <si>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</si>
  <si>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</si>
  <si>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</si>
  <si>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</si>
  <si>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</si>
  <si>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</si>
  <si>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</si>
  <si>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</si>
  <si>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</si>
  <si>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</si>
  <si>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</si>
  <si>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</si>
  <si>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</si>
  <si>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</si>
  <si>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</si>
  <si>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</si>
  <si>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</si>
  <si>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</si>
  <si>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</si>
  <si>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</si>
  <si>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</si>
  <si>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</si>
  <si>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</si>
  <si>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</si>
  <si>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</si>
  <si>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</si>
  <si>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</si>
  <si>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</si>
  <si>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</si>
  <si>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</si>
  <si>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</si>
  <si>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</si>
  <si>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</si>
  <si>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</si>
  <si>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</si>
  <si>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</si>
  <si>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</si>
  <si>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</si>
  <si>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</si>
  <si>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</si>
  <si>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</si>
  <si>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</si>
  <si>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</si>
  <si>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</si>
  <si>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</si>
  <si>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</si>
  <si>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</si>
  <si>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</si>
  <si>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</si>
  <si>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</si>
  <si>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</si>
  <si>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</si>
  <si>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</si>
  <si>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</si>
  <si>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</si>
  <si>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</si>
  <si>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</si>
  <si>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</si>
  <si>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</si>
  <si>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</si>
  <si>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</si>
  <si>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</si>
  <si>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</si>
  <si>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</si>
  <si>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</si>
  <si>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</si>
  <si>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</si>
  <si>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</si>
  <si>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</si>
  <si>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</si>
  <si>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</si>
  <si>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</si>
  <si>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</si>
  <si>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</si>
  <si>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</si>
  <si>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</si>
  <si>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</si>
  <si>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</si>
  <si>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</si>
  <si>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</si>
  <si>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</si>
  <si>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</si>
  <si>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</si>
  <si>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</si>
  <si>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</si>
  <si>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</si>
  <si>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</si>
  <si>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</si>
  <si>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</si>
  <si>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</si>
  <si>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</si>
  <si>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</si>
  <si>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</si>
  <si>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</si>
  <si>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</si>
  <si>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</si>
  <si>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</si>
  <si>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</si>
  <si>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</si>
  <si>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</si>
  <si>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</si>
  <si>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</si>
  <si>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</si>
  <si>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</si>
  <si>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</si>
  <si>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</si>
  <si>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</si>
  <si>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</si>
  <si>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</si>
  <si>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</si>
  <si>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</si>
  <si>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</si>
  <si>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</si>
  <si>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</si>
  <si>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</si>
  <si>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</si>
  <si>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</si>
  <si>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</si>
  <si>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</si>
  <si>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</si>
  <si>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</si>
  <si>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</si>
  <si>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</si>
  <si>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</si>
  <si>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</si>
  <si>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</si>
  <si>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</si>
  <si>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</si>
  <si>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</si>
  <si>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</si>
  <si>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</si>
  <si>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</si>
  <si>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</si>
  <si>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</si>
  <si>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</si>
  <si>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</si>
  <si>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</si>
  <si>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</si>
  <si>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</si>
  <si>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</si>
  <si>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</si>
  <si>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</si>
  <si>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</si>
  <si>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</si>
  <si>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</si>
  <si>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</si>
  <si>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</si>
  <si>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</si>
  <si>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</si>
  <si>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</si>
  <si>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</si>
  <si>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</si>
  <si>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</si>
  <si>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</si>
  <si>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</si>
  <si>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</si>
  <si>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</si>
  <si>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</si>
  <si>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</si>
  <si>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</si>
  <si>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</si>
  <si>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</si>
  <si>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</si>
  <si>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</si>
  <si>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</si>
  <si>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</si>
  <si>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</si>
  <si>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</si>
  <si>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</si>
  <si>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</si>
  <si>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</si>
  <si>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</si>
  <si>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</si>
  <si>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</si>
  <si>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</si>
  <si>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</si>
  <si>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</si>
  <si>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</si>
  <si>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</si>
  <si>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</si>
  <si>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</si>
  <si>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</si>
  <si>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</si>
  <si>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</si>
  <si>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</si>
  <si>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</si>
  <si>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</si>
  <si>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</si>
  <si>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</si>
  <si>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</si>
  <si>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</si>
  <si>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</si>
  <si>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</si>
  <si>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</si>
  <si>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</si>
  <si>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</si>
  <si>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</si>
  <si>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</si>
  <si>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</si>
  <si>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</si>
  <si>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</si>
  <si>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</si>
  <si>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</si>
  <si>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</si>
  <si>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</si>
  <si>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</si>
  <si>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</si>
  <si>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</si>
  <si>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</si>
  <si>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</si>
  <si>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</si>
  <si>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</si>
  <si>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</si>
  <si>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</si>
  <si>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</si>
  <si>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</si>
  <si>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</si>
  <si>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</si>
  <si>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</si>
  <si>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</si>
  <si>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</si>
  <si>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</si>
  <si>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</si>
  <si>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</si>
  <si>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</si>
  <si>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</si>
  <si>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</si>
  <si>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</si>
  <si>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</si>
  <si>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</si>
  <si>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</si>
  <si>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</si>
  <si>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</si>
  <si>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</si>
  <si>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</si>
  <si>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</si>
  <si>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</si>
  <si>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</si>
  <si>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</si>
  <si>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</si>
  <si>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</si>
  <si>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</si>
  <si>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</si>
  <si>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</si>
  <si>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</si>
  <si>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</si>
  <si>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</si>
  <si>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</si>
  <si>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</si>
  <si>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</si>
  <si>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</si>
  <si>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</si>
  <si>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</si>
  <si>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</si>
  <si>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</si>
  <si>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</si>
  <si>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</si>
  <si>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</si>
  <si>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</si>
  <si>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</si>
  <si>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</si>
  <si>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</si>
  <si>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</si>
  <si>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</si>
  <si>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</si>
  <si>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</si>
  <si>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</si>
  <si>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</si>
  <si>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</si>
  <si>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</si>
  <si>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</si>
  <si>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</si>
  <si>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</si>
  <si>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</si>
  <si>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</si>
  <si>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</si>
  <si>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</si>
  <si>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</si>
  <si>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</si>
  <si>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</si>
  <si>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</si>
  <si>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</si>
  <si>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</si>
  <si>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</si>
  <si>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</si>
  <si>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</si>
  <si>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</si>
  <si>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</si>
  <si>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</si>
  <si>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</si>
  <si>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</si>
  <si>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</si>
  <si>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</si>
  <si>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</si>
  <si>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</si>
  <si>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</si>
  <si>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</si>
  <si>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</si>
  <si>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</si>
  <si>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</si>
  <si>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</si>
  <si>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</si>
  <si>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</si>
  <si>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</si>
  <si>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</si>
  <si>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</si>
  <si>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</si>
  <si>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</si>
  <si>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</si>
  <si>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</si>
  <si>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</si>
  <si>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</si>
  <si>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</si>
  <si>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</si>
  <si>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</si>
  <si>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</si>
  <si>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</si>
  <si>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</si>
  <si>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</si>
  <si>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</si>
  <si>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</si>
  <si>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</si>
  <si>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</si>
  <si>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</si>
  <si>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</si>
  <si>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</si>
  <si>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</si>
  <si>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</si>
  <si>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</si>
  <si>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</si>
  <si>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</si>
  <si>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</si>
  <si>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</si>
  <si>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</si>
  <si>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</si>
  <si>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</si>
  <si>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</si>
  <si>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</si>
  <si>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</si>
  <si>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</si>
  <si>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</si>
  <si>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</si>
  <si>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</si>
  <si>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</si>
  <si>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</si>
  <si>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</si>
  <si>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</si>
  <si>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</si>
  <si>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</si>
  <si>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</si>
  <si>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</si>
  <si>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</si>
  <si>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</si>
  <si>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</si>
  <si>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</si>
  <si>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</si>
  <si>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</si>
  <si>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</si>
  <si>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</si>
  <si>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</si>
  <si>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</si>
  <si>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</si>
  <si>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</si>
  <si>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</si>
  <si>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</si>
  <si>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</si>
  <si>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</si>
  <si>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</si>
  <si>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</si>
  <si>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</si>
  <si>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</si>
  <si>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</si>
  <si>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</si>
  <si>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</si>
  <si>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</si>
  <si>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</si>
  <si>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</si>
  <si>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</si>
  <si>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</si>
  <si>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</si>
  <si>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</si>
  <si>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</si>
  <si>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</si>
  <si>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</si>
  <si>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</si>
  <si>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</si>
  <si>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</si>
  <si>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</si>
  <si>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</si>
  <si>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</si>
  <si>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</si>
  <si>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</si>
  <si>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</si>
  <si>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</si>
  <si>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</si>
  <si>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</si>
  <si>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</si>
  <si>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</si>
  <si>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</si>
  <si>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</si>
  <si>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</si>
  <si>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</si>
  <si>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Knight Electronics, Inc.</t>
  </si>
  <si>
    <t>Randy Rivero</t>
  </si>
  <si>
    <t>rrivero@knightonline.com</t>
  </si>
  <si>
    <t>214-340-0265</t>
  </si>
  <si>
    <t>John Knight</t>
  </si>
  <si>
    <t>President</t>
  </si>
  <si>
    <t>jknight@knightonline.com</t>
  </si>
  <si>
    <t>100%</t>
  </si>
  <si>
    <t>y</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</si>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</sst>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58AE8B3-8F46-430E-84BE-9F3885FFE4E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779553-1691-4305-8DE6-A4CC8DE8CD1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2" zoomScalePageLayoutView="70" workbookViewId="0">
      <selection activeCell="B90" sqref="B90:J9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15798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45258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t="s">
        <v>15803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t="s">
        <v>15804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6" sqref="A6"/>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1" customHeight="1">
      <c r="A5" s="262" t="s">
        <v>784</v>
      </c>
      <c r="B5" s="182" t="str">
        <f ca="1">IF(LEN(A5)=0,"",INDEX('Smelter Look-up'!$A:$A,MATCH($A5,'Smelter Look-up'!$E:$E,0)))</f>
        <v>Tin</v>
      </c>
      <c r="C5" s="186" t="str">
        <f ca="1">IF(LEN(A5)=0,"",INDEX('Smelter Look-up'!$C:$C,MATCH($A5,'Smelter Look-up'!$E:$E,0)))</f>
        <v>Thaisarco</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t="shared" ref="S5" ca="1" si="0">IF(B5="","",IF(ISERROR(MATCH($E5,CL,0)),"Unknown",INDIRECT("'C'!$A$"&amp;MATCH($E5,CL,0)+1)))</f>
        <v>TH</v>
      </c>
      <c r="T5" s="181" t="str">
        <f ca="1">IF(B5="","",IF(ISERROR(MATCH($J5,SorP!$B$1:$B$6279,0)),"",INDIRECT("'SorP'!$A$"&amp;MATCH($S5&amp;$J5,SorP!C:C,0))))</f>
        <v>TH-83</v>
      </c>
      <c r="U5" s="201"/>
      <c r="V5" s="226">
        <f ca="1">IF(C5="",NA(),IF(OR(C5="Smelter not listed",C5="Smelter not yet identified"),MATCH($B5&amp;$D5,'Smelter Look-up'!$J:$J,0),MATCH($B5&amp;$C5,'Smelter Look-up'!$J:$J,0)))</f>
        <v>526</v>
      </c>
      <c r="X5" s="227">
        <f t="shared" ref="X5" ca="1" si="1">IF(AND(C5="Smelter not listed",OR(LEN(D5)=0,LEN(E5)=0)),1,0)</f>
        <v>0</v>
      </c>
      <c r="AB5" s="228" t="str">
        <f t="shared" ref="AB5" ca="1" si="2">B5&amp;C5</f>
        <v>TinThaisarco</v>
      </c>
    </row>
    <row r="6" spans="1:34" s="227" customFormat="1" ht="30" customHeight="1">
      <c r="A6" s="262" t="s">
        <v>780</v>
      </c>
      <c r="B6" s="182" t="str">
        <f ca="1">IF(LEN(A6)=0,"",INDEX('Smelter Look-up'!$A:$A,MATCH($A6,'Smelter Look-up'!$E:$E,0)))</f>
        <v>Tin</v>
      </c>
      <c r="C6" s="186" t="str">
        <f ca="1">IF(LEN(A6)=0,"",INDEX('Smelter Look-up'!$C:$C,MATCH($A6,'Smelter Look-up'!$E:$E,0)))</f>
        <v>PT Refined Bangka Tin</v>
      </c>
      <c r="D6" s="230"/>
      <c r="E6" s="182" t="str">
        <f ca="1">IF(ISERROR($V6),"",OFFSET('Smelter Look-up'!$D$4,$V6-4,0)&amp;"")</f>
        <v>INDONESIA</v>
      </c>
      <c r="F6" s="182" t="str">
        <f ca="1">IF(ISERROR($V6),"",OFFSET('Smelter Look-up'!$E$4,$V6-4,0))</f>
        <v>CID001460</v>
      </c>
      <c r="G6" s="182" t="str">
        <f ca="1">IF(C6=$X$4,IF(ISERROR($V6),"Enter smelter details","RMI"),IF(ISERROR($V6),"",OFFSET('Smelter Look-up'!$F$4,$V6-4,0)))</f>
        <v>RMI</v>
      </c>
      <c r="H6" s="183">
        <f ca="1">IF(ISERROR($V6),"",OFFSET('Smelter Look-up'!$G$4,$V6-4,0))</f>
        <v>0</v>
      </c>
      <c r="I6" s="184" t="str">
        <f ca="1">IF(ISERROR($V6),"",OFFSET('Smelter Look-up'!$H$4,$V6-4,0))</f>
        <v>Sungailiat</v>
      </c>
      <c r="J6" s="184" t="str">
        <f ca="1">IF(ISERROR($V6),"",OFFSET('Smelter Look-up'!$I$4,$V6-4,0))</f>
        <v>Kepulauan Bangka Belitung</v>
      </c>
      <c r="K6" s="224"/>
      <c r="L6" s="224"/>
      <c r="M6" s="224"/>
      <c r="N6" s="224"/>
      <c r="O6" s="224"/>
      <c r="P6" s="185"/>
      <c r="Q6" s="225"/>
      <c r="R6" s="182" t="str">
        <f ca="1">IF(ISERROR($V6),"",OFFSET('Smelter Look-up'!$C$4,$V6-4,0)&amp;"")</f>
        <v>PT Refined Bangka Tin</v>
      </c>
      <c r="S6" s="181" t="str">
        <f t="shared" ref="S6:S37" ca="1" si="3">IF(B6="","",IF(ISERROR(MATCH($E6,CL,0)),"Unknown",INDIRECT("'C'!$A$"&amp;MATCH($E6,CL,0)+1)))</f>
        <v>ID</v>
      </c>
      <c r="T6" s="181" t="str">
        <f ca="1">IF(B6="","",IF(ISERROR(MATCH($J6,SorP!$B$1:$B$6279,0)),"",INDIRECT("'SorP'!$A$"&amp;MATCH($S6&amp;$J6,SorP!C:C,0))))</f>
        <v>ID-BB</v>
      </c>
      <c r="U6" s="201"/>
      <c r="V6" s="226">
        <f ca="1">IF(C6="",NA(),IF(OR(C6="Smelter not listed",C6="Smelter not yet identified"),MATCH($B6&amp;$D6,'Smelter Look-up'!$J:$J,0),MATCH($B6&amp;$C6,'Smelter Look-up'!$J:$J,0)))</f>
        <v>507</v>
      </c>
      <c r="X6" s="227">
        <f t="shared" ref="X6:X37" ca="1" si="4">IF(AND(C6="Smelter not listed",OR(LEN(D6)=0,LEN(E6)=0)),1,0)</f>
        <v>0</v>
      </c>
      <c r="AB6" s="228" t="str">
        <f t="shared" ref="AB6:AB37" ca="1" si="5">B6&amp;C6</f>
        <v>TinPT Refined Bangka Tin</v>
      </c>
    </row>
    <row r="7" spans="1:34" s="227" customFormat="1" ht="27" customHeight="1">
      <c r="A7" s="262" t="s">
        <v>771</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33" customHeight="1">
      <c r="A8" s="262" t="s">
        <v>779</v>
      </c>
      <c r="B8" s="182" t="str">
        <f ca="1">IF(LEN(A8)=0,"",INDEX('Smelter Look-up'!$A:$A,MATCH($A8,'Smelter Look-up'!$E:$E,0)))</f>
        <v>Tin</v>
      </c>
      <c r="C8" s="186" t="str">
        <f ca="1">IF(LEN(A8)=0,"",INDEX('Smelter Look-up'!$C:$C,MATCH($A8,'Smelter Look-up'!$E:$E,0)))</f>
        <v>PT Mitra Stania Prima</v>
      </c>
      <c r="D8" s="230"/>
      <c r="E8" s="182" t="str">
        <f ca="1">IF(ISERROR($V8),"",OFFSET('Smelter Look-up'!$D$4,$V8-4,0)&amp;"")</f>
        <v>INDONESIA</v>
      </c>
      <c r="F8" s="182" t="str">
        <f ca="1">IF(ISERROR($V8),"",OFFSET('Smelter Look-up'!$E$4,$V8-4,0))</f>
        <v>CID001453</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Mitra Stania Prima</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500</v>
      </c>
      <c r="X8" s="227">
        <f t="shared" ca="1" si="4"/>
        <v>0</v>
      </c>
      <c r="AB8" s="228" t="str">
        <f t="shared" ca="1" si="5"/>
        <v>TinPT Mitra Stania Prima</v>
      </c>
    </row>
    <row r="9" spans="1:34" s="227" customFormat="1" ht="33" customHeight="1">
      <c r="A9" s="262" t="s">
        <v>781</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514</v>
      </c>
      <c r="X9" s="227">
        <f t="shared" ca="1" si="4"/>
        <v>0</v>
      </c>
      <c r="AB9" s="228" t="str">
        <f t="shared" ca="1" si="5"/>
        <v>TinPT Timah Tbk Mentok</v>
      </c>
    </row>
    <row r="10" spans="1:34" s="227" customFormat="1" ht="19.899999999999999" customHeight="1">
      <c r="A10" s="262" t="s">
        <v>739</v>
      </c>
      <c r="B10" s="182" t="str">
        <f ca="1">IF(LEN(A10)=0,"",INDEX('Smelter Look-up'!$A:$A,MATCH($A10,'Smelter Look-up'!$E:$E,0)))</f>
        <v>Gold</v>
      </c>
      <c r="C10" s="186" t="str">
        <f ca="1">IF(LEN(A10)=0,"",INDEX('Smelter Look-up'!$C:$C,MATCH($A10,'Smelter Look-up'!$E:$E,0)))</f>
        <v>Western Australian Mint (T/a The Perth Mint)</v>
      </c>
      <c r="D10" s="230"/>
      <c r="E10" s="182" t="str">
        <f ca="1">IF(ISERROR($V10),"",OFFSET('Smelter Look-up'!$D$4,$V10-4,0)&amp;"")</f>
        <v>AUSTRALIA</v>
      </c>
      <c r="F10" s="182" t="str">
        <f ca="1">IF(ISERROR($V10),"",OFFSET('Smelter Look-up'!$E$4,$V10-4,0))</f>
        <v>CID002030</v>
      </c>
      <c r="G10" s="182" t="str">
        <f ca="1">IF(C10=$X$4,IF(ISERROR($V10),"Enter smelter details","RMI"),IF(ISERROR($V10),"",OFFSET('Smelter Look-up'!$F$4,$V10-4,0)))</f>
        <v>RMI</v>
      </c>
      <c r="H10" s="183">
        <f ca="1">IF(ISERROR($V10),"",OFFSET('Smelter Look-up'!$G$4,$V10-4,0))</f>
        <v>0</v>
      </c>
      <c r="I10" s="184" t="str">
        <f ca="1">IF(ISERROR($V10),"",OFFSET('Smelter Look-up'!$H$4,$V10-4,0))</f>
        <v>Newburn</v>
      </c>
      <c r="J10" s="184" t="str">
        <f ca="1">IF(ISERROR($V10),"",OFFSET('Smelter Look-up'!$I$4,$V10-4,0))</f>
        <v>Western Australia</v>
      </c>
      <c r="K10" s="224"/>
      <c r="L10" s="224"/>
      <c r="M10" s="224"/>
      <c r="N10" s="224"/>
      <c r="O10" s="224"/>
      <c r="P10" s="185"/>
      <c r="Q10" s="225"/>
      <c r="R10" s="182" t="str">
        <f ca="1">IF(ISERROR($V10),"",OFFSET('Smelter Look-up'!$C$4,$V10-4,0)&amp;"")</f>
        <v>Western Australian Mint (T/a The Perth Mint)</v>
      </c>
      <c r="S10" s="181" t="str">
        <f t="shared" ca="1" si="3"/>
        <v>AU</v>
      </c>
      <c r="T10" s="181" t="str">
        <f ca="1">IF(B10="","",IF(ISERROR(MATCH($J10,SorP!$B$1:$B$6279,0)),"",INDIRECT("'SorP'!$A$"&amp;MATCH($S10&amp;$J10,SorP!C:C,0))))</f>
        <v>AU-WA</v>
      </c>
      <c r="U10" s="201"/>
      <c r="V10" s="226">
        <f ca="1">IF(C10="",NA(),IF(OR(C10="Smelter not listed",C10="Smelter not yet identified"),MATCH($B10&amp;$D10,'Smelter Look-up'!$J:$J,0),MATCH($B10&amp;$C10,'Smelter Look-up'!$J:$J,0)))</f>
        <v>297</v>
      </c>
      <c r="X10" s="227">
        <f t="shared" ca="1" si="4"/>
        <v>0</v>
      </c>
      <c r="AB10" s="228" t="str">
        <f t="shared" ca="1" si="5"/>
        <v>GoldWestern Australian Mint (T/a The Perth Mint)</v>
      </c>
    </row>
    <row r="11" spans="1:34" s="227" customFormat="1" ht="19.899999999999999" customHeight="1">
      <c r="A11" s="262" t="s">
        <v>709</v>
      </c>
      <c r="B11" s="182" t="str">
        <f ca="1">IF(LEN(A11)=0,"",INDEX('Smelter Look-up'!$A:$A,MATCH($A11,'Smelter Look-up'!$E:$E,0)))</f>
        <v>Gold</v>
      </c>
      <c r="C11" s="186" t="str">
        <f ca="1">IF(LEN(A11)=0,"",INDEX('Smelter Look-up'!$C:$C,MATCH($A11,'Smelter Look-up'!$E:$E,0)))</f>
        <v>Mitsui Mining and Smelting Co., Ltd.</v>
      </c>
      <c r="D11" s="230"/>
      <c r="E11" s="182" t="str">
        <f ca="1">IF(ISERROR($V11),"",OFFSET('Smelter Look-up'!$D$4,$V11-4,0)&amp;"")</f>
        <v>JAPAN</v>
      </c>
      <c r="F11" s="182" t="str">
        <f ca="1">IF(ISERROR($V11),"",OFFSET('Smelter Look-up'!$E$4,$V11-4,0))</f>
        <v>CID001193</v>
      </c>
      <c r="G11" s="182" t="str">
        <f ca="1">IF(C11=$X$4,IF(ISERROR($V11),"Enter smelter details","RMI"),IF(ISERROR($V11),"",OFFSET('Smelter Look-up'!$F$4,$V11-4,0)))</f>
        <v>RMI</v>
      </c>
      <c r="H11" s="183">
        <f ca="1">IF(ISERROR($V11),"",OFFSET('Smelter Look-up'!$G$4,$V11-4,0))</f>
        <v>0</v>
      </c>
      <c r="I11" s="184" t="str">
        <f ca="1">IF(ISERROR($V11),"",OFFSET('Smelter Look-up'!$H$4,$V11-4,0))</f>
        <v>Takehara</v>
      </c>
      <c r="J11" s="184" t="str">
        <f ca="1">IF(ISERROR($V11),"",OFFSET('Smelter Look-up'!$I$4,$V11-4,0))</f>
        <v>Hiroshima</v>
      </c>
      <c r="K11" s="224"/>
      <c r="L11" s="224"/>
      <c r="M11" s="224"/>
      <c r="N11" s="224"/>
      <c r="O11" s="224"/>
      <c r="P11" s="185"/>
      <c r="Q11" s="225"/>
      <c r="R11" s="182" t="str">
        <f ca="1">IF(ISERROR($V11),"",OFFSET('Smelter Look-up'!$C$4,$V11-4,0)&amp;"")</f>
        <v>Mitsui Mining and Smelting Co., Ltd.</v>
      </c>
      <c r="S11" s="181" t="str">
        <f t="shared" ca="1" si="3"/>
        <v>JP</v>
      </c>
      <c r="T11" s="181" t="str">
        <f ca="1">IF(B11="","",IF(ISERROR(MATCH($J11,SorP!$B$1:$B$6279,0)),"",INDIRECT("'SorP'!$A$"&amp;MATCH($S11&amp;$J11,SorP!C:C,0))))</f>
        <v>JP-34</v>
      </c>
      <c r="U11" s="201"/>
      <c r="V11" s="226">
        <f ca="1">IF(C11="",NA(),IF(OR(C11="Smelter not listed",C11="Smelter not yet identified"),MATCH($B11&amp;$D11,'Smelter Look-up'!$J:$J,0),MATCH($B11&amp;$C11,'Smelter Look-up'!$J:$J,0)))</f>
        <v>183</v>
      </c>
      <c r="X11" s="227">
        <f t="shared" ca="1" si="4"/>
        <v>0</v>
      </c>
      <c r="AB11" s="228" t="str">
        <f t="shared" ca="1" si="5"/>
        <v>GoldMitsui Mining and Smelting Co., Ltd.</v>
      </c>
    </row>
    <row r="12" spans="1:34" s="227" customFormat="1" ht="19.899999999999999" customHeight="1">
      <c r="A12" s="262" t="s">
        <v>708</v>
      </c>
      <c r="B12" s="182" t="str">
        <f ca="1">IF(LEN(A12)=0,"",INDEX('Smelter Look-up'!$A:$A,MATCH($A12,'Smelter Look-up'!$E:$E,0)))</f>
        <v>Gold</v>
      </c>
      <c r="C12" s="186" t="str">
        <f ca="1">IF(LEN(A12)=0,"",INDEX('Smelter Look-up'!$C:$C,MATCH($A12,'Smelter Look-up'!$E:$E,0)))</f>
        <v>Mitsubishi Materials Corporation</v>
      </c>
      <c r="D12" s="230"/>
      <c r="E12" s="182" t="str">
        <f ca="1">IF(ISERROR($V12),"",OFFSET('Smelter Look-up'!$D$4,$V12-4,0)&amp;"")</f>
        <v>JAPAN</v>
      </c>
      <c r="F12" s="182" t="str">
        <f ca="1">IF(ISERROR($V12),"",OFFSET('Smelter Look-up'!$E$4,$V12-4,0))</f>
        <v>CID001188</v>
      </c>
      <c r="G12" s="182" t="str">
        <f ca="1">IF(C12=$X$4,IF(ISERROR($V12),"Enter smelter details","RMI"),IF(ISERROR($V12),"",OFFSET('Smelter Look-up'!$F$4,$V12-4,0)))</f>
        <v>RMI</v>
      </c>
      <c r="H12" s="183">
        <f ca="1">IF(ISERROR($V12),"",OFFSET('Smelter Look-up'!$G$4,$V12-4,0))</f>
        <v>0</v>
      </c>
      <c r="I12" s="184" t="str">
        <f ca="1">IF(ISERROR($V12),"",OFFSET('Smelter Look-up'!$H$4,$V12-4,0))</f>
        <v>Tokyo</v>
      </c>
      <c r="J12" s="184" t="str">
        <f ca="1">IF(ISERROR($V12),"",OFFSET('Smelter Look-up'!$I$4,$V12-4,0))</f>
        <v>Tokyo</v>
      </c>
      <c r="K12" s="224"/>
      <c r="L12" s="224"/>
      <c r="M12" s="224"/>
      <c r="N12" s="224"/>
      <c r="O12" s="224"/>
      <c r="P12" s="185"/>
      <c r="Q12" s="225"/>
      <c r="R12" s="182" t="str">
        <f ca="1">IF(ISERROR($V12),"",OFFSET('Smelter Look-up'!$C$4,$V12-4,0)&amp;"")</f>
        <v>Mitsubishi Materials Corporation</v>
      </c>
      <c r="S12" s="181" t="str">
        <f t="shared" ca="1" si="3"/>
        <v>JP</v>
      </c>
      <c r="T12" s="181" t="str">
        <f ca="1">IF(B12="","",IF(ISERROR(MATCH($J12,SorP!$B$1:$B$6279,0)),"",INDIRECT("'SorP'!$A$"&amp;MATCH($S12&amp;$J12,SorP!C:C,0))))</f>
        <v>JP-13</v>
      </c>
      <c r="U12" s="201"/>
      <c r="V12" s="226">
        <f ca="1">IF(C12="",NA(),IF(OR(C12="Smelter not listed",C12="Smelter not yet identified"),MATCH($B12&amp;$D12,'Smelter Look-up'!$J:$J,0),MATCH($B12&amp;$C12,'Smelter Look-up'!$J:$J,0)))</f>
        <v>181</v>
      </c>
      <c r="X12" s="227">
        <f t="shared" ca="1" si="4"/>
        <v>0</v>
      </c>
      <c r="AB12" s="228" t="str">
        <f t="shared" ca="1" si="5"/>
        <v>GoldMitsubishi Materials Corporation</v>
      </c>
    </row>
    <row r="13" spans="1:34" s="227" customFormat="1" ht="19.899999999999999" customHeight="1">
      <c r="A13" s="262" t="s">
        <v>732</v>
      </c>
      <c r="B13" s="182" t="str">
        <f ca="1">IF(LEN(A13)=0,"",INDEX('Smelter Look-up'!$A:$A,MATCH($A13,'Smelter Look-up'!$E:$E,0)))</f>
        <v>Gold</v>
      </c>
      <c r="C13" s="186" t="str">
        <f ca="1">IF(LEN(A13)=0,"",INDEX('Smelter Look-up'!$C:$C,MATCH($A13,'Smelter Look-up'!$E:$E,0)))</f>
        <v>Shandong Gold Smelting Co., Ltd.</v>
      </c>
      <c r="D13" s="230"/>
      <c r="E13" s="182" t="str">
        <f ca="1">IF(ISERROR($V13),"",OFFSET('Smelter Look-up'!$D$4,$V13-4,0)&amp;"")</f>
        <v>CHINA</v>
      </c>
      <c r="F13" s="182" t="str">
        <f ca="1">IF(ISERROR($V13),"",OFFSET('Smelter Look-up'!$E$4,$V13-4,0))</f>
        <v>CID001916</v>
      </c>
      <c r="G13" s="182" t="str">
        <f ca="1">IF(C13=$X$4,IF(ISERROR($V13),"Enter smelter details","RMI"),IF(ISERROR($V13),"",OFFSET('Smelter Look-up'!$F$4,$V13-4,0)))</f>
        <v>RMI</v>
      </c>
      <c r="H13" s="183">
        <f ca="1">IF(ISERROR($V13),"",OFFSET('Smelter Look-up'!$G$4,$V13-4,0))</f>
        <v>0</v>
      </c>
      <c r="I13" s="184" t="str">
        <f ca="1">IF(ISERROR($V13),"",OFFSET('Smelter Look-up'!$H$4,$V13-4,0))</f>
        <v>Laizhou</v>
      </c>
      <c r="J13" s="184" t="str">
        <f ca="1">IF(ISERROR($V13),"",OFFSET('Smelter Look-up'!$I$4,$V13-4,0))</f>
        <v>Shandong Sheng</v>
      </c>
      <c r="K13" s="224"/>
      <c r="L13" s="224"/>
      <c r="M13" s="224"/>
      <c r="N13" s="224"/>
      <c r="O13" s="224"/>
      <c r="P13" s="185"/>
      <c r="Q13" s="225"/>
      <c r="R13" s="182" t="str">
        <f ca="1">IF(ISERROR($V13),"",OFFSET('Smelter Look-up'!$C$4,$V13-4,0)&amp;"")</f>
        <v>Shandong Gold Smelting Co., Ltd.</v>
      </c>
      <c r="S13" s="181" t="str">
        <f t="shared" ca="1" si="3"/>
        <v>CN</v>
      </c>
      <c r="T13" s="181" t="str">
        <f ca="1">IF(B13="","",IF(ISERROR(MATCH($J13,SorP!$B$1:$B$6279,0)),"",INDIRECT("'SorP'!$A$"&amp;MATCH($S13&amp;$J13,SorP!C:C,0))))</f>
        <v>CN-SD</v>
      </c>
      <c r="U13" s="201"/>
      <c r="V13" s="226">
        <f ca="1">IF(C13="",NA(),IF(OR(C13="Smelter not listed",C13="Smelter not yet identified"),MATCH($B13&amp;$D13,'Smelter Look-up'!$J:$J,0),MATCH($B13&amp;$C13,'Smelter Look-up'!$J:$J,0)))</f>
        <v>239</v>
      </c>
      <c r="X13" s="227">
        <f t="shared" ca="1" si="4"/>
        <v>0</v>
      </c>
      <c r="AB13" s="228" t="str">
        <f t="shared" ca="1" si="5"/>
        <v>GoldShandong Gold Smelting Co., Ltd.</v>
      </c>
    </row>
    <row r="14" spans="1:34" s="227" customFormat="1" ht="19.899999999999999" customHeight="1">
      <c r="A14" s="262" t="s">
        <v>730</v>
      </c>
      <c r="B14" s="182" t="str">
        <f ca="1">IF(LEN(A14)=0,"",INDEX('Smelter Look-up'!$A:$A,MATCH($A14,'Smelter Look-up'!$E:$E,0)))</f>
        <v>Gold</v>
      </c>
      <c r="C14" s="186" t="str">
        <f ca="1">IF(LEN(A14)=0,"",INDEX('Smelter Look-up'!$C:$C,MATCH($A14,'Smelter Look-up'!$E:$E,0)))</f>
        <v>Tanaka Kikinzoku Kogyo K.K.</v>
      </c>
      <c r="D14" s="230"/>
      <c r="E14" s="182" t="str">
        <f ca="1">IF(ISERROR($V14),"",OFFSET('Smelter Look-up'!$D$4,$V14-4,0)&amp;"")</f>
        <v>JAPAN</v>
      </c>
      <c r="F14" s="182" t="str">
        <f ca="1">IF(ISERROR($V14),"",OFFSET('Smelter Look-up'!$E$4,$V14-4,0))</f>
        <v>CID001875</v>
      </c>
      <c r="G14" s="182" t="str">
        <f ca="1">IF(C14=$X$4,IF(ISERROR($V14),"Enter smelter details","RMI"),IF(ISERROR($V14),"",OFFSET('Smelter Look-up'!$F$4,$V14-4,0)))</f>
        <v>RMI</v>
      </c>
      <c r="H14" s="183">
        <f ca="1">IF(ISERROR($V14),"",OFFSET('Smelter Look-up'!$G$4,$V14-4,0))</f>
        <v>0</v>
      </c>
      <c r="I14" s="184" t="str">
        <f ca="1">IF(ISERROR($V14),"",OFFSET('Smelter Look-up'!$H$4,$V14-4,0))</f>
        <v>Hiratsuka</v>
      </c>
      <c r="J14" s="184" t="str">
        <f ca="1">IF(ISERROR($V14),"",OFFSET('Smelter Look-up'!$I$4,$V14-4,0))</f>
        <v>Kanagawa</v>
      </c>
      <c r="K14" s="224"/>
      <c r="L14" s="224"/>
      <c r="M14" s="224"/>
      <c r="N14" s="224"/>
      <c r="O14" s="224"/>
      <c r="P14" s="185"/>
      <c r="Q14" s="225"/>
      <c r="R14" s="182" t="str">
        <f ca="1">IF(ISERROR($V14),"",OFFSET('Smelter Look-up'!$C$4,$V14-4,0)&amp;"")</f>
        <v>Tanaka Kikinzoku Kogyo K.K.</v>
      </c>
      <c r="S14" s="181" t="str">
        <f t="shared" ca="1" si="3"/>
        <v>JP</v>
      </c>
      <c r="T14" s="181" t="str">
        <f ca="1">IF(B14="","",IF(ISERROR(MATCH($J14,SorP!$B$1:$B$6279,0)),"",INDIRECT("'SorP'!$A$"&amp;MATCH($S14&amp;$J14,SorP!C:C,0))))</f>
        <v>JP-14</v>
      </c>
      <c r="U14" s="201"/>
      <c r="V14" s="226">
        <f ca="1">IF(C14="",NA(),IF(OR(C14="Smelter not listed",C14="Smelter not yet identified"),MATCH($B14&amp;$D14,'Smelter Look-up'!$J:$J,0),MATCH($B14&amp;$C14,'Smelter Look-up'!$J:$J,0)))</f>
        <v>278</v>
      </c>
      <c r="X14" s="227">
        <f t="shared" ca="1" si="4"/>
        <v>0</v>
      </c>
      <c r="AB14" s="228" t="str">
        <f t="shared" ca="1" si="5"/>
        <v>GoldTanaka Kikinzoku Kogyo K.K.</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B2B0F3-E4CF-4B6C-BE75-B0B71FD29CB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Knight Electronics,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Randy Rivero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rrivero@knightonline.com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214-340-0265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John Knight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jknight@knightonline.com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45258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Colton Hart</cp:lastModifiedBy>
  <cp:lastPrinted>2015-04-21T20:47:43Z</cp:lastPrinted>
  <dcterms:created xsi:type="dcterms:W3CDTF">2010-06-21T21:00:23Z</dcterms:created>
  <dcterms:modified xsi:type="dcterms:W3CDTF">2023-11-30T22:06:55Z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